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91" windowWidth="15480" windowHeight="9435" tabRatio="834" activeTab="2"/>
  </bookViews>
  <sheets>
    <sheet name="PLANILHA (2)" sheetId="1" r:id="rId1"/>
    <sheet name="PLANILHA CONCLUSÃO" sheetId="2" r:id="rId2"/>
    <sheet name="CRONOGRAMA GERAL" sheetId="3" r:id="rId3"/>
    <sheet name="CRONOGRAMA REPASSE" sheetId="4" r:id="rId4"/>
    <sheet name="CRONOGRAMA CONTRAPARTIDA" sheetId="5" r:id="rId5"/>
    <sheet name="QCI" sheetId="6" r:id="rId6"/>
    <sheet name="MEMÓRIA CÁLCULO" sheetId="7" r:id="rId7"/>
  </sheets>
  <externalReferences>
    <externalReference r:id="rId10"/>
  </externalReferences>
  <definedNames>
    <definedName name="_xlnm.Print_Area" localSheetId="4">'CRONOGRAMA CONTRAPARTIDA'!$A$1:$N$40</definedName>
    <definedName name="_xlnm.Print_Area" localSheetId="2">'CRONOGRAMA GERAL'!$A$1:$N$40</definedName>
    <definedName name="_xlnm.Print_Area" localSheetId="3">'CRONOGRAMA REPASSE'!$A$1:$N$40</definedName>
    <definedName name="_xlnm.Print_Area" localSheetId="6">'MEMÓRIA CÁLCULO'!$A$1:$K$382</definedName>
    <definedName name="_xlnm.Print_Area" localSheetId="0">'PLANILHA (2)'!$A$1:$N$164</definedName>
    <definedName name="_xlnm.Print_Area" localSheetId="1">'PLANILHA CONCLUSÃO'!$A$1:$J$149</definedName>
    <definedName name="_xlnm.Print_Area" localSheetId="5">'QCI'!$A$1:$I$29</definedName>
    <definedName name="_xlnm.Print_Titles" localSheetId="6">'MEMÓRIA CÁLCULO'!$1:$6</definedName>
    <definedName name="_xlnm.Print_Titles" localSheetId="0">'PLANILHA (2)'!$1:$21</definedName>
    <definedName name="_xlnm.Print_Titles" localSheetId="1">'PLANILHA CONCLUSÃO'!$1:$21</definedName>
  </definedNames>
  <calcPr fullCalcOnLoad="1"/>
</workbook>
</file>

<file path=xl/sharedStrings.xml><?xml version="1.0" encoding="utf-8"?>
<sst xmlns="http://schemas.openxmlformats.org/spreadsheetml/2006/main" count="2038" uniqueCount="714">
  <si>
    <t>diâmetro de 4.2mm:</t>
  </si>
  <si>
    <t xml:space="preserve">7.2 - PARA VIGAS SUPERIORES </t>
  </si>
  <si>
    <t>7.3 - PARA PILARES</t>
  </si>
  <si>
    <t xml:space="preserve">Total: </t>
  </si>
  <si>
    <t>Área determinada no projeto (autocad), considerando apoio na viga:</t>
  </si>
  <si>
    <t>Áreas da Secretaria, Sala Diretor:</t>
  </si>
  <si>
    <t>Áreas dos I.S. masculino e feminino, PCD e parte da circulação:</t>
  </si>
  <si>
    <t>Áreas do Apoio Técnico 01/02 e outra parte da circulação:</t>
  </si>
  <si>
    <t xml:space="preserve">Feminino e Masculino: </t>
  </si>
  <si>
    <t>pé direito</t>
  </si>
  <si>
    <t>PCD</t>
  </si>
  <si>
    <t>Área desconto janelas e portas:</t>
  </si>
  <si>
    <t>Área:</t>
  </si>
  <si>
    <t>Paredes banheiros que receberão azulejo:</t>
  </si>
  <si>
    <t>Igual área de chapisco:</t>
  </si>
  <si>
    <t>Portas e janelas:</t>
  </si>
  <si>
    <t>da área</t>
  </si>
  <si>
    <t>Acesso coberto lateral:</t>
  </si>
  <si>
    <t>Acesso coberto frontal:</t>
  </si>
  <si>
    <t>Auditório:</t>
  </si>
  <si>
    <t>Palco/Rampa:</t>
  </si>
  <si>
    <t>Circulação:</t>
  </si>
  <si>
    <t>Apoio Técnico 01:</t>
  </si>
  <si>
    <t>Apoio Técnico 02:</t>
  </si>
  <si>
    <t>Sanitários Masculino e Feminino:</t>
  </si>
  <si>
    <t>Sanitário Deficientes:</t>
  </si>
  <si>
    <t>Secretaria:</t>
  </si>
  <si>
    <t>Sala Diretor:</t>
  </si>
  <si>
    <t>Cobertura:</t>
  </si>
  <si>
    <t>(29,08m² x 2 lados) =</t>
  </si>
  <si>
    <t>Portas pivotantes 200 x 280:</t>
  </si>
  <si>
    <t>Portas pivotantes 120 x 280:</t>
  </si>
  <si>
    <t>Porta 90 x 210: (PCD)</t>
  </si>
  <si>
    <t>Portas 80 x 210:</t>
  </si>
  <si>
    <t>Portas 70 x 210:</t>
  </si>
  <si>
    <t>Vaso sanitário comum:</t>
  </si>
  <si>
    <t>Vaso sanitário PCD:</t>
  </si>
  <si>
    <t xml:space="preserve">Barras de apoio para PCD: </t>
  </si>
  <si>
    <t>Painéis:</t>
  </si>
  <si>
    <t>Portas para sanitários:</t>
  </si>
  <si>
    <t>altura azulejo</t>
  </si>
  <si>
    <t>Locação convencional de obra, gabarito de tábuas corridas pontaletadas c/ reapr. de 3 vezes</t>
  </si>
  <si>
    <t>m3</t>
  </si>
  <si>
    <t>4.0</t>
  </si>
  <si>
    <t>4.1</t>
  </si>
  <si>
    <t>Escavação e carga de material de 1º categoria</t>
  </si>
  <si>
    <t>Lajes:</t>
  </si>
  <si>
    <t>Alvenaria:</t>
  </si>
  <si>
    <t>Área laje pré moldada:</t>
  </si>
  <si>
    <t>73751/001</t>
  </si>
  <si>
    <t>Fundo selador PVA ambientes internos, uma demão</t>
  </si>
  <si>
    <t>73954/002</t>
  </si>
  <si>
    <t>Pintura latex acrílica ambientes internos/externos, duas demãos</t>
  </si>
  <si>
    <t>74065/001</t>
  </si>
  <si>
    <t>total</t>
  </si>
  <si>
    <t>contrapartida</t>
  </si>
  <si>
    <t>CONOGRAMA FÍSICO - FINANCEIRO - REPASSE</t>
  </si>
  <si>
    <t>VALOR REPASSE:</t>
  </si>
  <si>
    <t>CONOGRAMA FÍSICO - FINANCEIRO - CONTRAPARTIDA</t>
  </si>
  <si>
    <t>VALOR CONTRAPARTIDA:</t>
  </si>
  <si>
    <t>Pintura esmalte 2 demãos c/ 1 demão zarcão p/ esquadria ferro</t>
  </si>
  <si>
    <t>5.0</t>
  </si>
  <si>
    <t>5.1</t>
  </si>
  <si>
    <t>5.2</t>
  </si>
  <si>
    <t>5.3</t>
  </si>
  <si>
    <t>5.4</t>
  </si>
  <si>
    <t>5.6</t>
  </si>
  <si>
    <t>5.7</t>
  </si>
  <si>
    <t>Pintura esmalte fosco p/ madeira, 2 demãos, incluso aparelha. c/ fundo nivelador branco fosco</t>
  </si>
  <si>
    <t>73829/001</t>
  </si>
  <si>
    <t>Rodapé em cerâmica esmaltada PEI-4, assent. c/ argamassa e rejuntam. em cimento branco</t>
  </si>
  <si>
    <t>5.8</t>
  </si>
  <si>
    <t>Divisória em marmorite e=35mm, chumbamento no piso e parede, polimento manual</t>
  </si>
  <si>
    <t>4.2</t>
  </si>
  <si>
    <t>73910/007</t>
  </si>
  <si>
    <t>Porta de madeira compe. lisa p/ cera/verniz, 90x210m, incl. aduela 1A, alizar 1A e dobradiça c/ anel</t>
  </si>
  <si>
    <t>Conjunto embutir 3 interruptores simples 10A/250V c/placa, TP silentoque</t>
  </si>
  <si>
    <t>Conjunto embutir 2 interruptores simples 10A/250V c/ placa, TP silentotoque</t>
  </si>
  <si>
    <t>Conjunto embutir 2 interruptores simples 10A/250V s/ placa, TP silentoque</t>
  </si>
  <si>
    <t>Iinterruptor simples embutir 10A/250V c/ placa, TP silentoque</t>
  </si>
  <si>
    <t>Placa cega 4 X 4'' em termoplástico, tipo silentoque</t>
  </si>
  <si>
    <t>Tomada completa p/ rádio e TV</t>
  </si>
  <si>
    <t>Tomada embutir p/ telefone padrão Telebrás c/ placa, tipo silentoque</t>
  </si>
  <si>
    <t>Tomada embutir 2P universal redonda 10A/250V c/ placa, tipo silentoque</t>
  </si>
  <si>
    <t>Tomada embutir 2P universal 10A/250V s/ placa tipo silentoque</t>
  </si>
  <si>
    <t>Disjuntor termomagnético bipolar padrão NEMA (americano) 10 A 50A 240V</t>
  </si>
  <si>
    <t>Disjuntor termomagnético tripolar padrão NEMA (americano) 60 a 100A 240V</t>
  </si>
  <si>
    <t>Quadro de distribuição de energia em chapa metálica, de embutir, sem porta, para 12 disjuntores termomagnéticos monopolares, sem dispositivo para chave geral, sem barramentos fases e com barramento neutro</t>
  </si>
  <si>
    <t>Luminária tipo calha, de sobrepor, com reator de partida rápida e e lâmpada</t>
  </si>
  <si>
    <t>Fio isolado PVC 750V 4 mm²</t>
  </si>
  <si>
    <t>Fio isolado PVC 750V 2,5 mm²</t>
  </si>
  <si>
    <t>Cabo telefônico FE bitola 1,0 mm², condutores para uso externo</t>
  </si>
  <si>
    <t>Luminária tipo calha, de sobrepor, com reator de partida rápida e lâmpada fluorescente 1x40W, completa</t>
  </si>
  <si>
    <t>Luminária tipo Spot p/ 01 lâmpada incandescente/fluorescente compacta</t>
  </si>
  <si>
    <t>15.0 - MATERIAL SANITÁRIO - Levantamento projeto hidro-sanitário</t>
  </si>
  <si>
    <t>16.0 - MATERIAL P/ ÁGUA FRIA - Levantamento projeto hidro-sanitário</t>
  </si>
  <si>
    <t xml:space="preserve">18.0 - PAREDES DE GESSO </t>
  </si>
  <si>
    <t>Porta de madeira compe. lisa p/ cera/verniz, 80x210m, incl. aduela 1A, alizar 1A e dobradiça c/ anel</t>
  </si>
  <si>
    <t>Porta de madeira compe. lisa p/ cera/verniz, 70x210m, incl. aduela 1A, alizar 1A e dobradiça c/ anel</t>
  </si>
  <si>
    <t>73910/004</t>
  </si>
  <si>
    <t>6.0</t>
  </si>
  <si>
    <t>7.0</t>
  </si>
  <si>
    <t>7.4</t>
  </si>
  <si>
    <t>7.5</t>
  </si>
  <si>
    <t>Responsável Técnico:</t>
  </si>
  <si>
    <t>74165/004</t>
  </si>
  <si>
    <t>74165/002</t>
  </si>
  <si>
    <t>Tubo de PVC 100mm, para esgoto:</t>
  </si>
  <si>
    <t>Tubo de PVC 50mm, para esgoto:</t>
  </si>
  <si>
    <t>Tubo de PVC 40mm, para esgoto:</t>
  </si>
  <si>
    <t>Tê 100mm:</t>
  </si>
  <si>
    <t>Tê 100 x 50mm:</t>
  </si>
  <si>
    <t>Joelho 45º 100mm:</t>
  </si>
  <si>
    <t>Joelho 45º 40mm com bolsa lisa:</t>
  </si>
  <si>
    <t>Joelho 45º 50mm:</t>
  </si>
  <si>
    <t>Joelho 90º com visita 100 x 50mm:</t>
  </si>
  <si>
    <t>Joelho 90º 100mm:</t>
  </si>
  <si>
    <t>Joelho 90º 40mm com bolsa lisa:</t>
  </si>
  <si>
    <t>Caixa sifonada 150 x 150 x 50mm:</t>
  </si>
  <si>
    <t>INC-EXT-015</t>
  </si>
  <si>
    <t>14.8</t>
  </si>
  <si>
    <t>Luminária de emergência autônoma c/ lâmpada de 8w</t>
  </si>
  <si>
    <t>INC-LUM-005</t>
  </si>
  <si>
    <t>INC-PLA-035</t>
  </si>
  <si>
    <t>Placa fotoluminescente 380x190mm (saída)</t>
  </si>
  <si>
    <t>4.3</t>
  </si>
  <si>
    <t>4.4</t>
  </si>
  <si>
    <t>73935/001</t>
  </si>
  <si>
    <t>3.1 - ESCAVAÇÃO MANUAL DE VALAS PARA FUNDAÇÃO:</t>
  </si>
  <si>
    <t>3.3 - ATERRO COMPACTADO</t>
  </si>
  <si>
    <t>3.3.1 - PARA REGULARIZAÇÃO CONTRAPISO</t>
  </si>
  <si>
    <t>3.4.1 - PARA ELEVAÇÃO DO PALCO</t>
  </si>
  <si>
    <t xml:space="preserve">4.0 - CONCRETO ESTRUTURAL </t>
  </si>
  <si>
    <t>4.1 - PARA FUNDAÇÃO</t>
  </si>
  <si>
    <t>5.0 - FERRAGEM - CORTE E ARMAÇÃO (projeto estrutural)</t>
  </si>
  <si>
    <t>6.0 - FORMAS DE MADEIRA (projeto estrutural)</t>
  </si>
  <si>
    <t>7.0 - LAJE PRE-MOLDADA</t>
  </si>
  <si>
    <t>8.0 - REVESTIMENTO</t>
  </si>
  <si>
    <t>8.1 - CHAPISCO</t>
  </si>
  <si>
    <t>8.2 - REBOCO</t>
  </si>
  <si>
    <t>8.3 - PINTURA PAREDES E LAJES</t>
  </si>
  <si>
    <t>8.4 - AZULEJO</t>
  </si>
  <si>
    <t>9.0 - CONTRAPISO EM CONCRETO</t>
  </si>
  <si>
    <t>10.0 - PISOS</t>
  </si>
  <si>
    <t>10.1 - Cerâmico antiderrapante</t>
  </si>
  <si>
    <t>10.2 - Piso de madeira</t>
  </si>
  <si>
    <t>10.3 - Rodapé cerâmico:</t>
  </si>
  <si>
    <t>11.0 - COBERTURA</t>
  </si>
  <si>
    <t>11.1 - ESTRUTURA METÁLICA PARA TELHADO:</t>
  </si>
  <si>
    <t>12.0 - PORTAS E JANELAS</t>
  </si>
  <si>
    <t>12.1 - PORTAS</t>
  </si>
  <si>
    <t>12.2 - JANELAS</t>
  </si>
  <si>
    <t>13.0 - LOUÇAS E METAIS</t>
  </si>
  <si>
    <t>14.0 - DIVISÓRIAS PARA BANHEIROS</t>
  </si>
  <si>
    <t xml:space="preserve">Conjunto embutir 2 interruptores simples 10A/250V c/ placa, TP silentotoque, fornec. e instalação </t>
  </si>
  <si>
    <t>Disjuntor termomagnético bipolar padrão NEMA (americano) 10 A 50A 240V, fornec. e instalação</t>
  </si>
  <si>
    <t>Disjuntor termomagnético tripolar padrão NEMA (americano) 60 a 100A 240V, fornec. e instalação</t>
  </si>
  <si>
    <t xml:space="preserve">Luminária tipo calha, de sobrepor, com reator de partida rápida e e lâmpada, fornec. e instalação </t>
  </si>
  <si>
    <t>Bancada (tampo) mármore branco nacional e=3cm, l=50cm, polido c/ furo p/ cuba - fornec. e instal.</t>
  </si>
  <si>
    <t>1.3</t>
  </si>
  <si>
    <t>8.0</t>
  </si>
  <si>
    <t>Joelho PVC 45º esgoto 40mm - fornecimento e instalação</t>
  </si>
  <si>
    <t>Joelho PVC 45º esgoto 100mm - fornecimento e instalação</t>
  </si>
  <si>
    <t>10.14</t>
  </si>
  <si>
    <t>10.15</t>
  </si>
  <si>
    <t>74104/001</t>
  </si>
  <si>
    <t>Caixa de inspeção em alvenaria de tijolo maciço 60x60x60cm, revestida internamente c/ barra lisa, e=2,0cm, c/ tampa pré moldada de concreto 15Mpa Tipo C - escavação e confecção</t>
  </si>
  <si>
    <t xml:space="preserve">INSTALAÇÕES SANITÁRIAS </t>
  </si>
  <si>
    <t>Tubo soldável 20mm:</t>
  </si>
  <si>
    <t>Tê soldável 20mm:</t>
  </si>
  <si>
    <t>74202/002</t>
  </si>
  <si>
    <t>Tê soldável c/ bucha de latão na bolsa central 20mm x 1/2":</t>
  </si>
  <si>
    <t>Joelho 90º soldável 20mm:</t>
  </si>
  <si>
    <t>Joelho 90º soldável c/ bucha de latão 20mm x 1/2":</t>
  </si>
  <si>
    <t>74108/001</t>
  </si>
  <si>
    <t>73910/003</t>
  </si>
  <si>
    <t>75030/001</t>
  </si>
  <si>
    <t>Tê PVC soldável com rosca metálica água fria 20mm - fornecimento e instalação</t>
  </si>
  <si>
    <t>Os itens não encontrados no SINAPI foram baseados na Planilha Referencial de Preços Unitários para Obras de Edificação e Infraestrutura da SETOP para a Região Norte - Setembro/2010.</t>
  </si>
  <si>
    <t xml:space="preserve">Joelho PVC soldável com rosca metálica 90º água fria 20mm </t>
  </si>
  <si>
    <t>9.12</t>
  </si>
  <si>
    <t>Área permeável 01:</t>
  </si>
  <si>
    <t>Área permeável 02:</t>
  </si>
  <si>
    <t>Área permeável 03:</t>
  </si>
  <si>
    <t>Área permeável 04:</t>
  </si>
  <si>
    <t xml:space="preserve">Curva PVC 90º p/ eletroduto roscável de 1 1/4" </t>
  </si>
  <si>
    <t xml:space="preserve">Conjunto embutir 3 interruptores simples 10A/250V c/placa, TP silentoque, fornecimento e instalação </t>
  </si>
  <si>
    <t xml:space="preserve">Conjunto embutir 2 interruptores simples 10A/250V s/ placa, TP silentoque, fornecimento e instalação </t>
  </si>
  <si>
    <t>Iinterruptor simples embutir 10A/250V c/ placa, TP silentoque, fornecimento e instalação</t>
  </si>
  <si>
    <t xml:space="preserve">Placa cega 4 X 4'' em termoplástico, tipo silentoque, fornecimento e instalação </t>
  </si>
  <si>
    <t>Tomada completa p/ rádio e TV, fornecimento e instalação</t>
  </si>
  <si>
    <t xml:space="preserve">Tomada embutir p/ telefone padrão Telebrás c/ placa, tipo silentoque, fornecimento e instalação </t>
  </si>
  <si>
    <t>Tomada embutir 2P universal redonda 10A/250V c/ placa, tipo silentoque, fornecimento e instalação</t>
  </si>
  <si>
    <t>Tomada embutir 2P universal 10A/250V s/ placa tipo silentoque, fornecimento e instalação</t>
  </si>
  <si>
    <t>Caixa de passagem octogonal 4" X 4" fundo móvel, em chapa galvanizada</t>
  </si>
  <si>
    <t>Caixa PVC 4" X 2" para eletroduto</t>
  </si>
  <si>
    <t>Caixa PVC 4" x 4" para eletroduto</t>
  </si>
  <si>
    <t>74131/003</t>
  </si>
  <si>
    <t xml:space="preserve">Quadro de distribuição de energia em chapa metálica, de embutir, sem porta, para 12 disjuntores termomagnéticos monopolares, sem dispositivo para chave geral, sem barramentos fases e com barramento neutro, fornecimento e instalação </t>
  </si>
  <si>
    <t>74116/001</t>
  </si>
  <si>
    <t xml:space="preserve">Fio isolado PVC 750V 4 mm², fornecimento e instalação </t>
  </si>
  <si>
    <t>74117/001</t>
  </si>
  <si>
    <t xml:space="preserve">Fio isolado PVC 750V 2,5 mm², fornecimento e instalação </t>
  </si>
  <si>
    <t>73768/002</t>
  </si>
  <si>
    <t>Cabo telefônico FE bitola 1,0 mm², condutores para uso externo, fornecimento e instalação</t>
  </si>
  <si>
    <t>Cabo de cobre nu 50 mm²</t>
  </si>
  <si>
    <t>73953/005</t>
  </si>
  <si>
    <t xml:space="preserve">Luminária tipo calha, de sobrepor, com reator de partida rápida e lâmpada fluorescente 1x40W, completa, fornecimento e instalação </t>
  </si>
  <si>
    <t>74094/001</t>
  </si>
  <si>
    <t>Luminária tipo Spot p/ 01 lâmpada incandescente/fluorescente compacta, fornecimento e instalação</t>
  </si>
  <si>
    <t>13.19</t>
  </si>
  <si>
    <t>13.20</t>
  </si>
  <si>
    <t>13.21</t>
  </si>
  <si>
    <t>13.22</t>
  </si>
  <si>
    <t>13.23</t>
  </si>
  <si>
    <t>13.24</t>
  </si>
  <si>
    <t>13.25</t>
  </si>
  <si>
    <t>74130/003</t>
  </si>
  <si>
    <t>13.14</t>
  </si>
  <si>
    <t>74130/005</t>
  </si>
  <si>
    <t>Laje para apoio da caixa: (1,80m x 1,80m) =</t>
  </si>
  <si>
    <t>Sapatas corridas palco:</t>
  </si>
  <si>
    <t>Altura parede + fundação:</t>
  </si>
  <si>
    <t>Largura: 2 lados</t>
  </si>
  <si>
    <t>0312.659-59/2009</t>
  </si>
  <si>
    <t>RUA GENÉSIO CANGUSSÚ, 525  -  BAIRRO VEREDAS</t>
  </si>
  <si>
    <t>(11,90m+7,52m)x0,30mx0,30m)</t>
  </si>
  <si>
    <t>Parede p/ elevação palco:</t>
  </si>
  <si>
    <t>Palco/Rampa: Desenho</t>
  </si>
  <si>
    <t>Circulação: PEI 5</t>
  </si>
  <si>
    <t>Apoio Técnico 01: PEI 4</t>
  </si>
  <si>
    <t>Apoio Técnico 02: PEI 4</t>
  </si>
  <si>
    <t>Sanitários Masculino e Feminino: PEI 5</t>
  </si>
  <si>
    <t>Sanitário Deficientes: PEI 5</t>
  </si>
  <si>
    <t>Secretaria: PEI 4</t>
  </si>
  <si>
    <t>Sala Diretor: PEI 4</t>
  </si>
  <si>
    <t>PEI 5</t>
  </si>
  <si>
    <t>PEI 4</t>
  </si>
  <si>
    <t>Granitina</t>
  </si>
  <si>
    <t>Mictório de louça branca:</t>
  </si>
  <si>
    <t xml:space="preserve">Barra de apoio em aço inox para P.N.E.L = 90cm </t>
  </si>
  <si>
    <t>73947/007</t>
  </si>
  <si>
    <t>Lavatório em louça branca de embutir (cuba) 52x39cm c/ ladrão ferragens em metal cromado sifão, torneira de pressão e válvula de escoamento, rabicha - fornecimento e instalação</t>
  </si>
  <si>
    <t>74234/001</t>
  </si>
  <si>
    <t>Mictório sifonado de louça branca c/pertences, c/ registro de pressão 1/2", canopla cromada acabamento simple e conjunto para fixação - fornecimento e instalação</t>
  </si>
  <si>
    <t>74135/001</t>
  </si>
  <si>
    <t>6.5</t>
  </si>
  <si>
    <t>6.6</t>
  </si>
  <si>
    <t>6.7</t>
  </si>
  <si>
    <t>Piso cerâmico PEI-4 antiderrapante, assentada c/ argamassa pré fabricada, inclusive rejuntamento</t>
  </si>
  <si>
    <t>Piso cerâmico PEI-5 antiderrapante, assentada c/ argamassa pré fabricada, inclusive rejuntamento</t>
  </si>
  <si>
    <t>14.4</t>
  </si>
  <si>
    <t>PAI-GRA-005</t>
  </si>
  <si>
    <t>Plantio de grama batatais em placas, inclusive terra vegetal e conservação por 30 dias</t>
  </si>
  <si>
    <t>74109/001</t>
  </si>
  <si>
    <t>peças</t>
  </si>
  <si>
    <t>Área peças p/ pintura:</t>
  </si>
  <si>
    <t>73998/006</t>
  </si>
  <si>
    <t>Alvenaria de bloco de concreto estrutural 20x20x40cm, esp=20cm, assentados com argamassa</t>
  </si>
  <si>
    <t>ALV-DRY-005</t>
  </si>
  <si>
    <t>Parede de gesso acartonado, dry-wall - 1ST + 1ST (divisão entre áreas secas)</t>
  </si>
  <si>
    <t>14.5</t>
  </si>
  <si>
    <t>14.6</t>
  </si>
  <si>
    <t>14.7</t>
  </si>
  <si>
    <t>Repasse</t>
  </si>
  <si>
    <t>ESQUADRIAS</t>
  </si>
  <si>
    <t>COBERTURA - ESTRUTURA E TELHA</t>
  </si>
  <si>
    <t>REVESTIMENTO</t>
  </si>
  <si>
    <t>OBRA:</t>
  </si>
  <si>
    <t>ITEM</t>
  </si>
  <si>
    <t>DESCRIÇÃO</t>
  </si>
  <si>
    <t>UND.</t>
  </si>
  <si>
    <t>QUANT.</t>
  </si>
  <si>
    <t xml:space="preserve">TOTAL </t>
  </si>
  <si>
    <t>1.0</t>
  </si>
  <si>
    <t>SERVIÇOS PRELIMINARES</t>
  </si>
  <si>
    <t>m²</t>
  </si>
  <si>
    <t>m³</t>
  </si>
  <si>
    <t>m</t>
  </si>
  <si>
    <t>un</t>
  </si>
  <si>
    <t>2.0</t>
  </si>
  <si>
    <t>MOVIMENTO DE TERRA</t>
  </si>
  <si>
    <t>3.0</t>
  </si>
  <si>
    <t>1.1</t>
  </si>
  <si>
    <t>kg</t>
  </si>
  <si>
    <t xml:space="preserve">INSTALAÇÕES ELÉTRICAS </t>
  </si>
  <si>
    <t>PISOS</t>
  </si>
  <si>
    <t>11.0</t>
  </si>
  <si>
    <t>TOTAL DA OBRA</t>
  </si>
  <si>
    <t>BDI</t>
  </si>
  <si>
    <t>TOTAL</t>
  </si>
  <si>
    <t>73822/002</t>
  </si>
  <si>
    <t>Placa de obra em chapa de aço galvanizado</t>
  </si>
  <si>
    <t>74209/001</t>
  </si>
  <si>
    <t>SETOP</t>
  </si>
  <si>
    <t>SINAPI</t>
  </si>
  <si>
    <t>CÓDIGO</t>
  </si>
  <si>
    <t>FONTE</t>
  </si>
  <si>
    <t>P.UNIT.</t>
  </si>
  <si>
    <t>74157/002</t>
  </si>
  <si>
    <t>Lançamento manual de concreto em estruturas, inclusive vibração</t>
  </si>
  <si>
    <t>73925/002</t>
  </si>
  <si>
    <t>Pintura latex PVA ambientes internos/externos, duas demãos</t>
  </si>
  <si>
    <t>73750/001</t>
  </si>
  <si>
    <t>73985/001</t>
  </si>
  <si>
    <t>73919/002</t>
  </si>
  <si>
    <t>Contrapiso em argamassa traço 1:4 (cimento, areia), espessura 5cm, preparo manual</t>
  </si>
  <si>
    <t>73774/001</t>
  </si>
  <si>
    <t>SER-POR-025</t>
  </si>
  <si>
    <t>und</t>
  </si>
  <si>
    <t>METAIS E PEÇAS SANITÁRIAS</t>
  </si>
  <si>
    <t xml:space="preserve">und </t>
  </si>
  <si>
    <t>Tubo PVC esgoto predial DN=100mm, inclusive conexões, fornecimento e instalação</t>
  </si>
  <si>
    <t>Tubo PVC esgoto predial DN 50mm, inclusive conexões - fornecimento e instalação</t>
  </si>
  <si>
    <t>74165/001</t>
  </si>
  <si>
    <t>Tubo PVC esgoto predial DN 40mm, inclusive conexões - fornecimento e instalação</t>
  </si>
  <si>
    <t>73947/009</t>
  </si>
  <si>
    <t>Saboneteira louça branca 15x15cm - fornecimento e instalação</t>
  </si>
  <si>
    <t>Papeleira de louça branca - fornecimento e instalação</t>
  </si>
  <si>
    <t>Cabide de louça branca simples tipo gancho - fornecimento e instalação</t>
  </si>
  <si>
    <t>73965/010</t>
  </si>
  <si>
    <t>Escavação manual de vala em material de 1ª cat. até 1,50m</t>
  </si>
  <si>
    <t>Regularização e compactação manual de terreno com soquete</t>
  </si>
  <si>
    <t>Aterro interno (edificações) compactado manualmente</t>
  </si>
  <si>
    <t>73972/002</t>
  </si>
  <si>
    <t>Concreto estrutural FCK=20MPA, virado em betoneira, na obra, sem lançamento</t>
  </si>
  <si>
    <t>Tê de PVC soldável água fria 20mm- fornecimento e instalação</t>
  </si>
  <si>
    <t>INSTALAÇÕES ÁGUA FRIA E ESGOTO</t>
  </si>
  <si>
    <t>CUSTO (R$)</t>
  </si>
  <si>
    <t>PREÇO (R$)</t>
  </si>
  <si>
    <t>BDI Proposto:</t>
  </si>
  <si>
    <t>Garantia (G)</t>
  </si>
  <si>
    <t xml:space="preserve">Risco (R) </t>
  </si>
  <si>
    <t>Despesas financeiras (DF)</t>
  </si>
  <si>
    <t>Administração Central (AC)</t>
  </si>
  <si>
    <t>Lucro (L)</t>
  </si>
  <si>
    <t>Tributos (T)</t>
  </si>
  <si>
    <t>Limpeza final da obra</t>
  </si>
  <si>
    <t>ETAPAS</t>
  </si>
  <si>
    <t>Financeiro</t>
  </si>
  <si>
    <t>CONOGRAMA FÍSICO - FINANCEIRO</t>
  </si>
  <si>
    <t>CONVÊNIO:</t>
  </si>
  <si>
    <t>PERCENTUAL</t>
  </si>
  <si>
    <t>ITENS</t>
  </si>
  <si>
    <t>Mês 01</t>
  </si>
  <si>
    <t>Mês 02</t>
  </si>
  <si>
    <t>Mês 03</t>
  </si>
  <si>
    <t>Mês 04</t>
  </si>
  <si>
    <t>Mês 05</t>
  </si>
  <si>
    <t>Mês 06</t>
  </si>
  <si>
    <t>Físico                  Financeiro</t>
  </si>
  <si>
    <t>VALOR                 R$</t>
  </si>
  <si>
    <t>Físico %</t>
  </si>
  <si>
    <t>DATA:</t>
  </si>
  <si>
    <t>QCI - Quadro de Composição do Investimento</t>
  </si>
  <si>
    <t xml:space="preserve">Regime de Execução: </t>
  </si>
  <si>
    <t>AD = Administração Direta ; EG = Empreitada Global</t>
  </si>
  <si>
    <t>Tipo de Contrapartida:</t>
  </si>
  <si>
    <t>OS = Obras e Serviços ; F = Financeira</t>
  </si>
  <si>
    <t>Item</t>
  </si>
  <si>
    <t>Discriminação</t>
  </si>
  <si>
    <t>REGIME</t>
  </si>
  <si>
    <t>TIPO CP</t>
  </si>
  <si>
    <t>Contrapartida</t>
  </si>
  <si>
    <t>Outras fontes</t>
  </si>
  <si>
    <t>Investimento Total (em R$)</t>
  </si>
  <si>
    <t>Joelho PVC soldável 90º água fria 20mm - fornecimento e instalação</t>
  </si>
  <si>
    <t>LOCALIZAÇÃO:</t>
  </si>
  <si>
    <t>PLANILHA ORÇAMENTÁRIA</t>
  </si>
  <si>
    <t>R.T.:</t>
  </si>
  <si>
    <t>Neurisdayvison Nogueira Santos</t>
  </si>
  <si>
    <t>Data:</t>
  </si>
  <si>
    <t>HID-SIF-006</t>
  </si>
  <si>
    <t>Caixa sifonada em PVC com grelha redonda 150x150x50mm</t>
  </si>
  <si>
    <t>Joelho PVC 45º esgoto 50mm - fornecimento e instalação</t>
  </si>
  <si>
    <t>Curva PVC 90º esgoto 100x50mm com visita - fornecimento e instalação</t>
  </si>
  <si>
    <t>Joelho PVC 90º esgoto 100mm - fornecimento e instalação</t>
  </si>
  <si>
    <t>Joelho PVC 90º esgoto 40mm - fornecimento e instalação</t>
  </si>
  <si>
    <t>Ralo sifonado de PVC 100x100mm simples - fornecimento e instalação</t>
  </si>
  <si>
    <t>Tê sanitário 100x100mm, junta soldada - fornecimento e instalação</t>
  </si>
  <si>
    <t>Tê sanitário 100x50mm, com anéis - fornecimento e instalação</t>
  </si>
  <si>
    <t>1.2</t>
  </si>
  <si>
    <t>SERVIÇOS DIVERSOS</t>
  </si>
  <si>
    <t>Limpeza de terreno</t>
  </si>
  <si>
    <t>repasse</t>
  </si>
  <si>
    <t>INFRAESTRUTURA</t>
  </si>
  <si>
    <t>JANAÚBA-MG</t>
  </si>
  <si>
    <t>9.0</t>
  </si>
  <si>
    <t>10.0</t>
  </si>
  <si>
    <t>12.0</t>
  </si>
  <si>
    <t>13.0</t>
  </si>
  <si>
    <t>14.0</t>
  </si>
  <si>
    <t>VALOR DA OBRA:</t>
  </si>
  <si>
    <t>12.1</t>
  </si>
  <si>
    <t>13.1</t>
  </si>
  <si>
    <t>13.2</t>
  </si>
  <si>
    <t>74151/001</t>
  </si>
  <si>
    <t>74077/003</t>
  </si>
  <si>
    <t>14.1</t>
  </si>
  <si>
    <t>Formas com chapa de madeira compensada plastificada 10mm, para estruturas</t>
  </si>
  <si>
    <t xml:space="preserve">Alvenaria em tijolo cerâmico furado 10x20x20cm, 1/2 vez, em argamassa </t>
  </si>
  <si>
    <t>ACE-BAR-015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</si>
  <si>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</si>
  <si>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</si>
  <si>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</si>
  <si>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</si>
  <si>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</si>
  <si>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</si>
  <si>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</si>
  <si>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</si>
  <si>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</si>
  <si>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5.5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</si>
  <si>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</si>
  <si>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</si>
  <si>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</si>
  <si>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</si>
  <si>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</si>
  <si>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</si>
  <si>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</si>
  <si>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</si>
  <si>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</si>
  <si>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</si>
  <si>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</si>
  <si>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</si>
  <si>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</si>
  <si>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</si>
  <si>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</si>
  <si>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</si>
  <si>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</si>
  <si>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</si>
  <si>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</si>
  <si>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</si>
  <si>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</si>
  <si>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</si>
  <si>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</si>
  <si>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</si>
  <si>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10.4</t>
  </si>
  <si>
    <t>10.5</t>
  </si>
  <si>
    <t>10.6</t>
  </si>
  <si>
    <t>10.8</t>
  </si>
  <si>
    <t>10.9</t>
  </si>
  <si>
    <t>10.10</t>
  </si>
  <si>
    <t>10.11</t>
  </si>
  <si>
    <t>10.12</t>
  </si>
  <si>
    <t>10.13</t>
  </si>
  <si>
    <t>11.1</t>
  </si>
  <si>
    <t>11.2</t>
  </si>
  <si>
    <t>11.3</t>
  </si>
  <si>
    <t>11.4</t>
  </si>
  <si>
    <t>11.5</t>
  </si>
  <si>
    <t>11.6</t>
  </si>
  <si>
    <t>11.7</t>
  </si>
  <si>
    <t>11.8</t>
  </si>
  <si>
    <t>Engº Civil CREA: 108874/D</t>
  </si>
  <si>
    <t>Tubo de PVC soldável água fria DN 20mm, inclusive conexões - fornec e instalação</t>
  </si>
  <si>
    <t>14.2</t>
  </si>
  <si>
    <t>Área da obra:</t>
  </si>
  <si>
    <t>1.2 - LOCAÇÃO DA OBRA</t>
  </si>
  <si>
    <t>Porta de sanitário completa, com batentes de ferro, estrutura em metalon 20x30mm, folha em chapa galvanizada nº 18, tranquet e dobradiças</t>
  </si>
  <si>
    <t>Composição do BDI</t>
  </si>
  <si>
    <t>Intervalos admissíveis sem justificativas</t>
  </si>
  <si>
    <t>Composição de BDI adotado</t>
  </si>
  <si>
    <t>De      0,00%      até     0,42%</t>
  </si>
  <si>
    <t>Garantia:</t>
  </si>
  <si>
    <t xml:space="preserve"> BDI = (1+AC)x(1+DF)x(1+(G+R))x(1+L))  - 1
                                  1 - T
Observação:
Composição do BDI, intervalos admissíveis e fórmula de cálculo nos termos do Acórdão 325/2007 do TCU.</t>
  </si>
  <si>
    <t>De      0,00%      até     2,05%</t>
  </si>
  <si>
    <t>Risco:</t>
  </si>
  <si>
    <t>De      0,00%      até     1,20%</t>
  </si>
  <si>
    <t>De      0,11%      até     8,03%</t>
  </si>
  <si>
    <t>De      3,83%      até     9,96%</t>
  </si>
  <si>
    <t>Lucro:</t>
  </si>
  <si>
    <t>De      5,65%      até     8,65%</t>
  </si>
  <si>
    <t>Tributos:</t>
  </si>
  <si>
    <t>73953/006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</si>
  <si>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</si>
  <si>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</si>
  <si>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</si>
  <si>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</si>
  <si>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</si>
  <si>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</si>
  <si>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</si>
  <si>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</si>
  <si>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</si>
  <si>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</si>
  <si>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</si>
  <si>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13.15</t>
  </si>
  <si>
    <t>13.16</t>
  </si>
  <si>
    <t>13.17</t>
  </si>
  <si>
    <t>13.18</t>
  </si>
  <si>
    <t>73869/002</t>
  </si>
  <si>
    <t>Ligação de esgoto em tubo cerâmico DN150mm, da caixa até a rede, incluindo escavação e reaterro até 1,00m, composto por 11,48m de tubo cerâmico esgoto DN150mm e curva cerâmica 45º esgoto DN150mm - fornecimento e instalação</t>
  </si>
  <si>
    <t>Reboco para paredes argamassa traço 1:4,5, e=0,50cm, preparo mecânico</t>
  </si>
  <si>
    <t>Chapisco em paredes traço 1:4 (cimento e areia), e=0,5cm, preparo manual</t>
  </si>
  <si>
    <t>LIGAÇÃO À REDE DE ESGOTO</t>
  </si>
  <si>
    <t>Recursos            União</t>
  </si>
  <si>
    <t>REPASSE</t>
  </si>
  <si>
    <t>CONTRAPARTIDA</t>
  </si>
  <si>
    <t>EG</t>
  </si>
  <si>
    <t>F</t>
  </si>
  <si>
    <t>Regularização de fundo das sapatas isoladas:</t>
  </si>
  <si>
    <t>paredes</t>
  </si>
  <si>
    <t>Altura:</t>
  </si>
  <si>
    <t>Total:</t>
  </si>
  <si>
    <t>lados</t>
  </si>
  <si>
    <t>Janelas:</t>
  </si>
  <si>
    <t>janelas</t>
  </si>
  <si>
    <t>Portas:</t>
  </si>
  <si>
    <t>Área a descontar:</t>
  </si>
  <si>
    <t>Área de alvenaria:</t>
  </si>
  <si>
    <t>lado</t>
  </si>
  <si>
    <t>Comprimento:</t>
  </si>
  <si>
    <t>Largura:</t>
  </si>
  <si>
    <t>Espessura média:</t>
  </si>
  <si>
    <t xml:space="preserve">ALVENARIA E DIVISÕES </t>
  </si>
  <si>
    <t>CENTRO DE EVENTOS</t>
  </si>
  <si>
    <t>Administração Central:</t>
  </si>
  <si>
    <t>Despesas Financeiras:</t>
  </si>
  <si>
    <t>Quantitativos levantados pelo projeto estrutural</t>
  </si>
  <si>
    <t>Sapatas Isoladas:</t>
  </si>
  <si>
    <t>Sapatas Corridas:</t>
  </si>
  <si>
    <t xml:space="preserve">Total = </t>
  </si>
  <si>
    <t xml:space="preserve">Pilares 0,80mx0,80m = </t>
  </si>
  <si>
    <t>sapatas</t>
  </si>
  <si>
    <t xml:space="preserve">Pilares 1,0mx1,00m = </t>
  </si>
  <si>
    <t xml:space="preserve">Pilares 0,70mx0,70m = </t>
  </si>
  <si>
    <t>Área do prédio:</t>
  </si>
  <si>
    <t>Volume reaterro:</t>
  </si>
  <si>
    <t>Dimensões:</t>
  </si>
  <si>
    <t>Altura média:</t>
  </si>
  <si>
    <t>SAPATAS ISOLADAS: Conforme projeto estrutural</t>
  </si>
  <si>
    <t>SAPATAS CORRIDAS: Conforme projeto estrutural</t>
  </si>
  <si>
    <t>PILARES: Conforme projeto estrutural</t>
  </si>
  <si>
    <t>VIGAS: Conforme projeto estrutural</t>
  </si>
  <si>
    <t>Volume total de concreto estrutural:</t>
  </si>
  <si>
    <t>diâmetro de 8mm:</t>
  </si>
  <si>
    <t>diâmetro de 5mm:</t>
  </si>
  <si>
    <t>diâmetro de 10mm:</t>
  </si>
  <si>
    <t>diâmetro de 6.3mm:</t>
  </si>
  <si>
    <t>diâmetro de 12.5mm:</t>
  </si>
  <si>
    <t>Lavatórios para banheiros:</t>
  </si>
  <si>
    <t>Lavatório para PCD:</t>
  </si>
  <si>
    <t>Saboneteiras de louça</t>
  </si>
  <si>
    <t>Papeleira de louça</t>
  </si>
  <si>
    <t>Cabide de louça</t>
  </si>
  <si>
    <t>Bancadas para pias</t>
  </si>
  <si>
    <t xml:space="preserve">Azulejo 1A 15 x 15cm, fixado argamassa colante, incluso rejuntamento </t>
  </si>
  <si>
    <t>Piso em granitina, incluso juntas de dilatação plástica e polimento mecanizado - Auditório</t>
  </si>
  <si>
    <t>Piso em granitina, incluso juntas de dilatação plástica e polimento mecanizado - Acessos</t>
  </si>
  <si>
    <t>Total</t>
  </si>
  <si>
    <t>SER-JAN-007</t>
  </si>
  <si>
    <t>7.6</t>
  </si>
  <si>
    <t>7.7</t>
  </si>
  <si>
    <t>portas</t>
  </si>
  <si>
    <t>porta</t>
  </si>
  <si>
    <t>Vidro liso comum, espessura 4mm, para portas e janelas, fornecimento e assentamento</t>
  </si>
  <si>
    <t xml:space="preserve">Porta de madeira p/ entrada, pivotante, c/ vidro, incluso aduela, alizar, dobradiças, fechadura externa </t>
  </si>
  <si>
    <t>Auditório: Granitina</t>
  </si>
  <si>
    <t>Acesso coberto frontal: Granitina</t>
  </si>
  <si>
    <t>Acesso coberto lateral: Granitina</t>
  </si>
  <si>
    <t xml:space="preserve">Para acesso ao local (acesso pela rua) - 2 rampas (2,75m + 3,02m + 3,82m + 3,82m + 2,75m + 3,02m = </t>
  </si>
  <si>
    <t>Acesso ao Palco: 1,65m + 1,74m =</t>
  </si>
  <si>
    <t>rampas</t>
  </si>
  <si>
    <t>Piso de concreto para as rampas acessibilidade:</t>
  </si>
  <si>
    <t>Piso de concreto para a rampa da entrada principal:</t>
  </si>
  <si>
    <t>6.8</t>
  </si>
  <si>
    <t xml:space="preserve">Altura guarda corpo: </t>
  </si>
  <si>
    <t>Guarda corpo em tubo de aço galvanizado</t>
  </si>
  <si>
    <t>EST-MET-035</t>
  </si>
  <si>
    <t>Fornecimento, fabricação, transporte e montagem de estrutura metálica para telhado em aço, conforme projeto, pintada, para telha metálica</t>
  </si>
  <si>
    <t>Piso de concreto Fck=20,0 Mpa, e=7cm, incluso polimento e junta poiuretano 2x2</t>
  </si>
  <si>
    <t>74252/001</t>
  </si>
  <si>
    <t>Eletroduto PVC rígido, rosca 32mm, fornecimento e instalação</t>
  </si>
  <si>
    <t>Eletroduto PVC rígido roscável 25mm, fornecimento e instalação</t>
  </si>
  <si>
    <t>Eletroduto PVC rígido roscável 20mm, fornecimento e instalação</t>
  </si>
  <si>
    <t>ELE-ELE-020</t>
  </si>
  <si>
    <t>13.26</t>
  </si>
  <si>
    <t>13.27</t>
  </si>
  <si>
    <t>Eletroduto de PVC rígido roscável 40mm, fornecimento e instalação</t>
  </si>
  <si>
    <t xml:space="preserve">Eletroduto de PVC rígido roscável 25 mm </t>
  </si>
  <si>
    <t xml:space="preserve">Eletroduto de PVC rígido roscável 20 mm </t>
  </si>
  <si>
    <t xml:space="preserve">Eletroduto de PVC rígido roscável 32 mm </t>
  </si>
  <si>
    <t xml:space="preserve">Eletroduto de PVC rígido roscável 40mm </t>
  </si>
  <si>
    <t>Janelas 200 x 230: J1</t>
  </si>
  <si>
    <t>Janelas 75 x 230: J2</t>
  </si>
  <si>
    <t>Janelas "balão" 120 x 230: J4</t>
  </si>
  <si>
    <t>Janelas no Auditório 60 x 230: J5</t>
  </si>
  <si>
    <t>Janelas 120 x 60: J3</t>
  </si>
  <si>
    <t>Fornecimento e assentamento de janelas metálicas</t>
  </si>
  <si>
    <t>COB-TEL-050</t>
  </si>
  <si>
    <t>Cobertura em telha metálica galvanizada trapezoidal, dupla com tratamento termo-acústico</t>
  </si>
  <si>
    <t>17.0 - GRAMADO SOB O PERGOLADO</t>
  </si>
  <si>
    <t>11.2 - TELHA METÁLICA TERMO ACÚSTICA - TIPO SANDUICHE</t>
  </si>
  <si>
    <t>Fechamento lateral:</t>
  </si>
  <si>
    <t xml:space="preserve">Área: (11,90m x 7,56m x 0,90m) = </t>
  </si>
  <si>
    <t>Parede palco:</t>
  </si>
  <si>
    <t>74140/002</t>
  </si>
  <si>
    <t>Carga, transporte e descarga mecânica de material para aterro até 5,00 km</t>
  </si>
  <si>
    <t>Fornecedor</t>
  </si>
  <si>
    <t xml:space="preserve">Extensão: desenho </t>
  </si>
  <si>
    <t>Altura:desenho</t>
  </si>
  <si>
    <t>Área: (2,60m x 2,41m) =</t>
  </si>
  <si>
    <t>19.0 - MADEIRA PARA PERGOLADO / FECHAMENTO RESERVATÓRIO</t>
  </si>
  <si>
    <t>Peças de madeira de 5cm x 10cm</t>
  </si>
  <si>
    <t xml:space="preserve">Extensão das peças (04 lados): </t>
  </si>
  <si>
    <t>Quantidade de peças:</t>
  </si>
  <si>
    <t>unidades</t>
  </si>
  <si>
    <t>[(11,90mx0,10mx2 lados)+(11,90mx0,05mx2 lados)] x 14 peças =</t>
  </si>
  <si>
    <t>Peças de madeira de lei 1A qualidade (10cm x 5cm)  para fechamento reservatório</t>
  </si>
  <si>
    <t>LOU-VAS-020</t>
  </si>
  <si>
    <t>Vaso sanitário louça branca inclusive válvula de descarga - fornecimento e instalação.</t>
  </si>
  <si>
    <t>Quantidade:</t>
  </si>
  <si>
    <t>Brise metálico de alumínio modelo 84F 45º L</t>
  </si>
  <si>
    <t xml:space="preserve">Compriumento: </t>
  </si>
  <si>
    <t>1 - PEÇAS PARA APOIO DO PERGOLADO</t>
  </si>
  <si>
    <t>02 - PEÇAS DO PERGOLADO</t>
  </si>
  <si>
    <t>01 peça:</t>
  </si>
  <si>
    <t>04 peças:</t>
  </si>
  <si>
    <t>06 peças:</t>
  </si>
  <si>
    <t>Peça de madeira de lei 1A qualidade (20 x 30cm)  ) para apoio do pergolado</t>
  </si>
  <si>
    <t>Peça de madeira de lei 1A qualidade (15 x 30cm)  ) para apoio do pergolado</t>
  </si>
  <si>
    <t>PEÇAS DE APOIO DO PERGOLADO:</t>
  </si>
  <si>
    <t>PERGOLADO:</t>
  </si>
  <si>
    <t xml:space="preserve">Peça 30cm x 20cm: (5,77m + 2,20m x (0,30m x 0,20m) </t>
  </si>
  <si>
    <t xml:space="preserve">Peça 15cm x 20cm: (5,77m + 2,20m x (0,15m x 0,20m) </t>
  </si>
  <si>
    <t>36 peças:</t>
  </si>
  <si>
    <t>19 peças:</t>
  </si>
  <si>
    <t>7 peças:</t>
  </si>
  <si>
    <t>Peças de madeira de lei 1A qualidade (7,5 x 30cm)  para pergolado</t>
  </si>
  <si>
    <t>Piso em tábua de madeira de lei 1A, espessura 2,5cm, fixado em peças de madeira (palco)</t>
  </si>
  <si>
    <t>ARM-AÇO-020</t>
  </si>
  <si>
    <t>Fornecimento,corte, dobra e armação de aço CA-50/60</t>
  </si>
  <si>
    <t>HID-DAG-020</t>
  </si>
  <si>
    <t>Caixa d´água de polietileno com tampa com tampa 1500 litros</t>
  </si>
  <si>
    <t>Pintura imunizante para madeiras do pergolado, duas demãos</t>
  </si>
  <si>
    <t>14.3</t>
  </si>
  <si>
    <t>14.9</t>
  </si>
  <si>
    <t>14.10</t>
  </si>
  <si>
    <t>14.11</t>
  </si>
  <si>
    <t>14.12</t>
  </si>
  <si>
    <t xml:space="preserve">1.1 - LIMPEZA DO TERRENO </t>
  </si>
  <si>
    <t>2.1 - Paredes internas e externas/apoios: conforme projeto</t>
  </si>
  <si>
    <t>2.2 - Alvenaria para paredes de elevação do palco, em blocos de concreto estrutural:</t>
  </si>
  <si>
    <t>Extintor de pó químico (20:B:C) capacidade 6 kg - fornecimento e instalação</t>
  </si>
  <si>
    <t>Extintor de pó químico (A:B:C) capacidade 12 kg - fornecimento e instalação</t>
  </si>
  <si>
    <t>INC-EXT-016</t>
  </si>
  <si>
    <t>14.13</t>
  </si>
  <si>
    <t>14.14</t>
  </si>
  <si>
    <t>Joelho 90º 50mm:</t>
  </si>
  <si>
    <t>10.16</t>
  </si>
  <si>
    <t>Joelho PVC 90º esgoto 50mm - fornecimento e instalação</t>
  </si>
  <si>
    <t>Caixas de inspeção em alvenaria:</t>
  </si>
  <si>
    <t>Tubo soldável 32mm:</t>
  </si>
  <si>
    <t>Tubo de PVC soldável água fria DN 32mm, inclusive conexões - fornec e instalação</t>
  </si>
  <si>
    <t>Tê soldável 32mm:</t>
  </si>
  <si>
    <t>Joelho 90º soldável 32mm:</t>
  </si>
  <si>
    <t>Bucha de redução soldável longa 32mm x 20mm:</t>
  </si>
  <si>
    <t>Registro de gaveta bruto 32mm:</t>
  </si>
  <si>
    <t>Reservatório de água para 1.500 litros:</t>
  </si>
  <si>
    <t>Registro de pressão 20mm</t>
  </si>
  <si>
    <t>Torneira bóia para caixa d'água 1/2mm</t>
  </si>
  <si>
    <t>Adaptador longo c/ flanges livres p/ caixa dágua 32mm x 1"</t>
  </si>
  <si>
    <t>Adaptador longo c/ flanges livres p/ caixa dágua 20mm x 1/2"</t>
  </si>
  <si>
    <t>Joelho PVC soldável 90º água fria 32mm - fornecimento e instalação</t>
  </si>
  <si>
    <t>9.13</t>
  </si>
  <si>
    <t>9.14</t>
  </si>
  <si>
    <t>HID-REG-010</t>
  </si>
  <si>
    <t>Registro de pressão com canopla d=20mm</t>
  </si>
  <si>
    <t>HID-REG-030</t>
  </si>
  <si>
    <t>Registro gaveta bruto d=32mm - fornecimento e instalação</t>
  </si>
  <si>
    <t>Tê de PVC soldável água fria 32mm- fornecimento e instalação</t>
  </si>
  <si>
    <t>75030/002</t>
  </si>
  <si>
    <t>74058/001</t>
  </si>
  <si>
    <t>Torneira bóia para caixa d'água 1/2 com balão metálico - fornecimento e instalação</t>
  </si>
  <si>
    <t>20.0 - PINTURA DAS MADEIRAS - Pergolado</t>
  </si>
  <si>
    <t>21.0 - MADEIRA PARA FECHAMENTO RESERVATÓRIO</t>
  </si>
  <si>
    <t>22.0 - BRISE ENTRADA DO CENTRO DE EVENTOS</t>
  </si>
  <si>
    <t>23.0 - RAMPA DE ACESSIBILIDADE CADEIRANTE (2 rampas) e RAMPA ENTRADA PRINCIPAL</t>
  </si>
  <si>
    <t>24.0 - GUARDA CORPO - ACESSIBILIDADE e ENTRADA PRINCIPAL</t>
  </si>
  <si>
    <t>25.0 - MATERIAL ELÉTRICO - levantamento projeto elétrico</t>
  </si>
  <si>
    <t>ART CREA/MG: 51416611-28/10/2010</t>
  </si>
  <si>
    <t>Convênio: 0312.659-59/2009</t>
  </si>
  <si>
    <t>Laje pré-moldada para piso, sobrecarga 200kg/m², vão até 3,50m, e=8cm, c/ lajota e capeam. de concreto Fck=20Mpa, e=3cm, c/ escora. e ferragem negativa</t>
  </si>
  <si>
    <t>Placa M1, em PVC rígido, 2mm, fotoluminescente, 40x64cm - (Placa de indicação dos itens do Sistema de Proteção Contra Incêndio existentes na edificação)</t>
  </si>
  <si>
    <t>7.1 - PARA FUNDAÇÃO - vigas</t>
  </si>
  <si>
    <t xml:space="preserve">QUANTIDADE </t>
  </si>
  <si>
    <t>RESTANTE</t>
  </si>
  <si>
    <t>PARA CONCLUSÃO DA OBRA</t>
  </si>
  <si>
    <t>SERVIÇOS EXECUTADOS</t>
  </si>
  <si>
    <t>MEDIDO</t>
  </si>
  <si>
    <t>PORCENTAGEM</t>
  </si>
  <si>
    <t>Dezembro de 2012</t>
  </si>
  <si>
    <t>3.2 - REGULARIZAÇÃO DE FUNDO DE VALA:  - SERVIÇO EXECUTADO 100%</t>
  </si>
  <si>
    <r>
      <t xml:space="preserve">1.0 - SERVIÇOS INICIAIS - </t>
    </r>
    <r>
      <rPr>
        <b/>
        <sz val="8"/>
        <color indexed="10"/>
        <rFont val="Arial"/>
        <family val="2"/>
      </rPr>
      <t>SERVIÇO EXECUTADO 100%</t>
    </r>
  </si>
  <si>
    <r>
      <t xml:space="preserve">2.0 - ÁREA DE ALVENARIA - </t>
    </r>
    <r>
      <rPr>
        <b/>
        <sz val="8"/>
        <color indexed="10"/>
        <rFont val="Arial"/>
        <family val="2"/>
      </rPr>
      <t>SERVIÇO EXECUTADO 60,32%</t>
    </r>
  </si>
  <si>
    <r>
      <t xml:space="preserve">3.0 - MOVIMENTO DE TERRA - </t>
    </r>
    <r>
      <rPr>
        <b/>
        <sz val="8"/>
        <color indexed="10"/>
        <rFont val="Arial"/>
        <family val="2"/>
      </rPr>
      <t>SERVIÇO EXECUTADO 100%</t>
    </r>
  </si>
  <si>
    <t>Declaramos que os quantitativos da planilha orçamentária estão de acordo com o projeto e levantamentos apresentados. Declaramos ainda, que os custos unitários da planilha estão em conformidade com o SINAPI, para a localidade de Belo Horizonte/MG, com preç</t>
  </si>
  <si>
    <t>Janaúba - Janeiro de 2013.</t>
  </si>
  <si>
    <t>YUJI YAMADA</t>
  </si>
  <si>
    <t>Prefeito Municipal</t>
  </si>
  <si>
    <t>Percentrual executado</t>
  </si>
  <si>
    <t>75030/008</t>
  </si>
  <si>
    <t>Os itens não encontrados no SINAPI foram baseados na Planilha Referencial de Preços Unitários para Obras de Edificação e Infraestrutura da SETOP para a Região Norte - Maio 2013.</t>
  </si>
  <si>
    <t>73860/009</t>
  </si>
  <si>
    <t>73860/008</t>
  </si>
  <si>
    <t>RÔMULO FERNANDES DE SOUSA</t>
  </si>
  <si>
    <t>Engº Civil CREA: ES-031073/D</t>
  </si>
  <si>
    <t>Agosto de 2013</t>
  </si>
  <si>
    <t>Parede de gesso acartonado simples, interna espessura final 100mm</t>
  </si>
  <si>
    <t>79836/001</t>
  </si>
  <si>
    <t>18872/001</t>
  </si>
  <si>
    <t>79637/005</t>
  </si>
  <si>
    <t>Declaramos que os quantitativos da planilha orçamentária estão de acordo com o projeto e levantamentos apresentados. Declaramos ainda, que os custos unitários da planilha estão em conformidade com o SINAPI, para a localidade de Belo Horizonte/MG, com preços deJunho 2013.</t>
  </si>
  <si>
    <t>837/001</t>
  </si>
  <si>
    <t>O item 13.11, 13.14, 13.20 se encontra na planilha SINAPI para a localidade de Belo Horizonte/MG, com preço para Maio 2013.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</si>
</sst>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00"/>
    <numFmt numFmtId="178" formatCode="&quot;R$ &quot;#,##0.00"/>
    <numFmt numFmtId="179" formatCode="0.0000%"/>
    <numFmt numFmtId="180" formatCode="0.000%"/>
    <numFmt numFmtId="181" formatCode="&quot;R$ &quot;#,##0.00;[Red]&quot;R$ &quot;#,##0.00"/>
    <numFmt numFmtId="182" formatCode="0.00000%"/>
    <numFmt numFmtId="183" formatCode="0.000000%"/>
    <numFmt numFmtId="184" formatCode="0.0000000%"/>
  </numFmts>
  <fonts count="6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2"/>
      <name val="Arial"/>
      <family val="2"/>
    </font>
    <font>
      <i/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8"/>
      <color indexed="17"/>
      <name val="Arial"/>
      <family val="0"/>
    </font>
    <font>
      <sz val="20"/>
      <color indexed="17"/>
      <name val="Arial"/>
      <family val="0"/>
    </font>
    <font>
      <sz val="22"/>
      <color indexed="17"/>
      <name val="Arial"/>
      <family val="0"/>
    </font>
    <font>
      <sz val="9"/>
      <color indexed="17"/>
      <name val="Arial"/>
      <family val="0"/>
    </font>
    <font>
      <sz val="10"/>
      <color indexed="17"/>
      <name val="Arial"/>
      <family val="0"/>
    </font>
    <font>
      <sz val="12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16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2" fontId="0" fillId="0" borderId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62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10" fontId="4" fillId="0" borderId="0" xfId="0" applyNumberFormat="1" applyFont="1" applyBorder="1" applyAlignment="1" applyProtection="1">
      <alignment vertical="center"/>
      <protection/>
    </xf>
    <xf numFmtId="1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9" fontId="9" fillId="0" borderId="10" xfId="51" applyFont="1" applyBorder="1" applyAlignment="1">
      <alignment vertical="center"/>
    </xf>
    <xf numFmtId="4" fontId="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0" fontId="0" fillId="34" borderId="0" xfId="0" applyFill="1" applyAlignment="1">
      <alignment/>
    </xf>
    <xf numFmtId="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9" fillId="0" borderId="11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13" fillId="0" borderId="0" xfId="0" applyNumberFormat="1" applyFont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10" fillId="0" borderId="0" xfId="0" applyNumberFormat="1" applyFont="1" applyAlignment="1">
      <alignment horizontal="left" vertical="center"/>
    </xf>
    <xf numFmtId="4" fontId="13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2" fontId="4" fillId="0" borderId="0" xfId="62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44" applyAlignment="1" applyProtection="1">
      <alignment/>
      <protection/>
    </xf>
    <xf numFmtId="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72" fontId="16" fillId="0" borderId="0" xfId="62" applyFont="1" applyFill="1" applyBorder="1" applyAlignment="1" applyProtection="1">
      <alignment/>
      <protection/>
    </xf>
    <xf numFmtId="172" fontId="7" fillId="0" borderId="0" xfId="62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/>
    </xf>
    <xf numFmtId="4" fontId="10" fillId="0" borderId="0" xfId="62" applyNumberFormat="1" applyFont="1" applyFill="1" applyBorder="1" applyAlignment="1" applyProtection="1">
      <alignment vertical="center"/>
      <protection/>
    </xf>
    <xf numFmtId="4" fontId="1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13" fillId="0" borderId="0" xfId="62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172" fontId="8" fillId="0" borderId="0" xfId="62" applyFont="1" applyFill="1" applyBorder="1" applyAlignment="1" applyProtection="1">
      <alignment/>
      <protection/>
    </xf>
    <xf numFmtId="10" fontId="9" fillId="0" borderId="0" xfId="51" applyNumberFormat="1" applyFont="1" applyBorder="1" applyAlignment="1" applyProtection="1">
      <alignment horizontal="right" vertical="center"/>
      <protection/>
    </xf>
    <xf numFmtId="9" fontId="9" fillId="0" borderId="0" xfId="51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9" fontId="10" fillId="0" borderId="0" xfId="5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6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 wrapText="1"/>
    </xf>
    <xf numFmtId="4" fontId="9" fillId="0" borderId="0" xfId="0" applyNumberFormat="1" applyFont="1" applyAlignment="1">
      <alignment horizontal="right" vertical="center"/>
    </xf>
    <xf numFmtId="10" fontId="9" fillId="0" borderId="0" xfId="51" applyNumberFormat="1" applyFont="1" applyAlignment="1">
      <alignment horizontal="right" vertical="center"/>
    </xf>
    <xf numFmtId="0" fontId="13" fillId="34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9" fontId="4" fillId="0" borderId="10" xfId="51" applyFont="1" applyBorder="1" applyAlignment="1">
      <alignment vertical="center"/>
    </xf>
    <xf numFmtId="10" fontId="9" fillId="0" borderId="10" xfId="51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" fontId="15" fillId="35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177" fontId="7" fillId="0" borderId="0" xfId="62" applyNumberFormat="1" applyFont="1" applyFill="1" applyBorder="1" applyAlignment="1" applyProtection="1">
      <alignment/>
      <protection/>
    </xf>
    <xf numFmtId="177" fontId="4" fillId="0" borderId="0" xfId="62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82" fontId="9" fillId="0" borderId="10" xfId="5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10" fontId="9" fillId="34" borderId="0" xfId="51" applyNumberFormat="1" applyFont="1" applyFill="1" applyAlignment="1">
      <alignment/>
    </xf>
    <xf numFmtId="10" fontId="9" fillId="0" borderId="0" xfId="51" applyNumberFormat="1" applyFont="1" applyAlignment="1">
      <alignment vertical="center"/>
    </xf>
    <xf numFmtId="4" fontId="9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10" fontId="9" fillId="36" borderId="0" xfId="51" applyNumberFormat="1" applyFont="1" applyFill="1" applyBorder="1" applyAlignment="1" applyProtection="1">
      <alignment horizontal="center" vertical="center"/>
      <protection/>
    </xf>
    <xf numFmtId="172" fontId="4" fillId="36" borderId="0" xfId="62" applyFont="1" applyFill="1" applyBorder="1" applyAlignment="1" applyProtection="1">
      <alignment horizontal="left" vertical="top" wrapText="1"/>
      <protection/>
    </xf>
    <xf numFmtId="0" fontId="0" fillId="36" borderId="0" xfId="0" applyFill="1" applyBorder="1" applyAlignment="1">
      <alignment horizontal="center"/>
    </xf>
    <xf numFmtId="172" fontId="9" fillId="36" borderId="0" xfId="62" applyFont="1" applyFill="1" applyBorder="1" applyAlignment="1" applyProtection="1">
      <alignment horizontal="center" vertical="center"/>
      <protection/>
    </xf>
    <xf numFmtId="10" fontId="9" fillId="36" borderId="15" xfId="51" applyNumberFormat="1" applyFont="1" applyFill="1" applyBorder="1" applyAlignment="1" applyProtection="1">
      <alignment horizontal="center" vertical="center"/>
      <protection/>
    </xf>
    <xf numFmtId="10" fontId="9" fillId="36" borderId="12" xfId="51" applyNumberFormat="1" applyFont="1" applyFill="1" applyBorder="1" applyAlignment="1" applyProtection="1">
      <alignment horizontal="center" vertical="center"/>
      <protection/>
    </xf>
    <xf numFmtId="172" fontId="4" fillId="36" borderId="15" xfId="62" applyFont="1" applyFill="1" applyBorder="1" applyAlignment="1" applyProtection="1">
      <alignment horizontal="left" vertical="top" wrapText="1"/>
      <protection/>
    </xf>
    <xf numFmtId="172" fontId="4" fillId="36" borderId="16" xfId="62" applyFont="1" applyFill="1" applyBorder="1" applyAlignment="1" applyProtection="1">
      <alignment horizontal="left" vertical="top" wrapText="1"/>
      <protection/>
    </xf>
    <xf numFmtId="172" fontId="4" fillId="36" borderId="12" xfId="62" applyFont="1" applyFill="1" applyBorder="1" applyAlignment="1" applyProtection="1">
      <alignment horizontal="left" vertical="top" wrapText="1"/>
      <protection/>
    </xf>
    <xf numFmtId="172" fontId="4" fillId="36" borderId="0" xfId="62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>
      <alignment horizontal="center" vertical="center"/>
    </xf>
    <xf numFmtId="10" fontId="9" fillId="36" borderId="0" xfId="51" applyNumberFormat="1" applyFont="1" applyFill="1" applyBorder="1" applyAlignment="1" applyProtection="1">
      <alignment vertical="center"/>
      <protection/>
    </xf>
    <xf numFmtId="4" fontId="13" fillId="36" borderId="0" xfId="62" applyNumberFormat="1" applyFont="1" applyFill="1" applyBorder="1" applyAlignment="1" applyProtection="1">
      <alignment vertical="center"/>
      <protection/>
    </xf>
    <xf numFmtId="4" fontId="10" fillId="36" borderId="0" xfId="62" applyNumberFormat="1" applyFont="1" applyFill="1" applyBorder="1" applyAlignment="1" applyProtection="1">
      <alignment vertical="center"/>
      <protection/>
    </xf>
    <xf numFmtId="4" fontId="4" fillId="36" borderId="0" xfId="62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Alignment="1">
      <alignment horizontal="left" wrapText="1"/>
    </xf>
    <xf numFmtId="4" fontId="10" fillId="36" borderId="17" xfId="62" applyNumberFormat="1" applyFont="1" applyFill="1" applyBorder="1" applyAlignment="1" applyProtection="1">
      <alignment vertical="center"/>
      <protection/>
    </xf>
    <xf numFmtId="4" fontId="10" fillId="36" borderId="17" xfId="0" applyNumberFormat="1" applyFont="1" applyFill="1" applyBorder="1" applyAlignment="1">
      <alignment vertical="center"/>
    </xf>
    <xf numFmtId="172" fontId="10" fillId="36" borderId="0" xfId="62" applyFont="1" applyFill="1" applyBorder="1" applyAlignment="1" applyProtection="1">
      <alignment vertical="center"/>
      <protection/>
    </xf>
    <xf numFmtId="4" fontId="10" fillId="36" borderId="0" xfId="62" applyNumberFormat="1" applyFont="1" applyFill="1" applyBorder="1" applyAlignment="1" applyProtection="1">
      <alignment horizontal="right" vertical="center"/>
      <protection/>
    </xf>
    <xf numFmtId="4" fontId="10" fillId="36" borderId="0" xfId="0" applyNumberFormat="1" applyFont="1" applyFill="1" applyBorder="1" applyAlignment="1">
      <alignment vertical="center"/>
    </xf>
    <xf numFmtId="4" fontId="13" fillId="36" borderId="0" xfId="62" applyNumberFormat="1" applyFont="1" applyFill="1" applyBorder="1" applyAlignment="1" applyProtection="1">
      <alignment horizontal="left" vertical="center"/>
      <protection/>
    </xf>
    <xf numFmtId="0" fontId="0" fillId="36" borderId="11" xfId="0" applyFill="1" applyBorder="1" applyAlignment="1">
      <alignment/>
    </xf>
    <xf numFmtId="0" fontId="0" fillId="36" borderId="18" xfId="0" applyFill="1" applyBorder="1" applyAlignment="1">
      <alignment/>
    </xf>
    <xf numFmtId="0" fontId="2" fillId="36" borderId="18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172" fontId="0" fillId="36" borderId="18" xfId="62" applyFont="1" applyFill="1" applyBorder="1" applyAlignment="1" applyProtection="1">
      <alignment/>
      <protection/>
    </xf>
    <xf numFmtId="172" fontId="9" fillId="36" borderId="18" xfId="62" applyFont="1" applyFill="1" applyBorder="1" applyAlignment="1" applyProtection="1">
      <alignment horizontal="right" vertical="center"/>
      <protection/>
    </xf>
    <xf numFmtId="0" fontId="9" fillId="36" borderId="15" xfId="0" applyFont="1" applyFill="1" applyBorder="1" applyAlignment="1">
      <alignment vertical="center"/>
    </xf>
    <xf numFmtId="0" fontId="9" fillId="36" borderId="15" xfId="0" applyFont="1" applyFill="1" applyBorder="1" applyAlignment="1">
      <alignment horizontal="center" vertical="center"/>
    </xf>
    <xf numFmtId="172" fontId="9" fillId="36" borderId="16" xfId="62" applyFont="1" applyFill="1" applyBorder="1" applyAlignment="1" applyProtection="1">
      <alignment horizontal="center" vertical="center"/>
      <protection/>
    </xf>
    <xf numFmtId="0" fontId="9" fillId="36" borderId="12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172" fontId="9" fillId="36" borderId="17" xfId="62" applyFont="1" applyFill="1" applyBorder="1" applyAlignment="1" applyProtection="1">
      <alignment horizontal="right" vertical="center"/>
      <protection/>
    </xf>
    <xf numFmtId="172" fontId="9" fillId="36" borderId="17" xfId="62" applyFont="1" applyFill="1" applyBorder="1" applyAlignment="1" applyProtection="1">
      <alignment horizontal="center" vertical="center"/>
      <protection/>
    </xf>
    <xf numFmtId="0" fontId="13" fillId="36" borderId="17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justify" vertical="center" wrapText="1"/>
    </xf>
    <xf numFmtId="0" fontId="6" fillId="36" borderId="17" xfId="0" applyFont="1" applyFill="1" applyBorder="1" applyAlignment="1">
      <alignment horizontal="center" vertical="center"/>
    </xf>
    <xf numFmtId="172" fontId="6" fillId="36" borderId="17" xfId="62" applyFont="1" applyFill="1" applyBorder="1" applyAlignment="1" applyProtection="1">
      <alignment vertical="center"/>
      <protection/>
    </xf>
    <xf numFmtId="0" fontId="10" fillId="36" borderId="17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right" vertical="center"/>
    </xf>
    <xf numFmtId="0" fontId="10" fillId="36" borderId="17" xfId="0" applyFont="1" applyFill="1" applyBorder="1" applyAlignment="1">
      <alignment horizontal="justify" vertical="center" wrapText="1"/>
    </xf>
    <xf numFmtId="0" fontId="10" fillId="36" borderId="17" xfId="0" applyFont="1" applyFill="1" applyBorder="1" applyAlignment="1">
      <alignment vertical="center"/>
    </xf>
    <xf numFmtId="4" fontId="13" fillId="36" borderId="17" xfId="0" applyNumberFormat="1" applyFont="1" applyFill="1" applyBorder="1" applyAlignment="1">
      <alignment vertical="center"/>
    </xf>
    <xf numFmtId="0" fontId="14" fillId="36" borderId="0" xfId="0" applyFont="1" applyFill="1" applyAlignment="1">
      <alignment vertical="center"/>
    </xf>
    <xf numFmtId="0" fontId="10" fillId="36" borderId="21" xfId="0" applyFont="1" applyFill="1" applyBorder="1" applyAlignment="1">
      <alignment vertical="center" wrapText="1"/>
    </xf>
    <xf numFmtId="0" fontId="13" fillId="36" borderId="17" xfId="0" applyFont="1" applyFill="1" applyBorder="1" applyAlignment="1">
      <alignment vertical="center"/>
    </xf>
    <xf numFmtId="4" fontId="13" fillId="36" borderId="17" xfId="62" applyNumberFormat="1" applyFont="1" applyFill="1" applyBorder="1" applyAlignment="1" applyProtection="1">
      <alignment vertical="center"/>
      <protection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172" fontId="4" fillId="36" borderId="0" xfId="62" applyFont="1" applyFill="1" applyBorder="1" applyAlignment="1" applyProtection="1">
      <alignment/>
      <protection/>
    </xf>
    <xf numFmtId="4" fontId="13" fillId="36" borderId="0" xfId="62" applyNumberFormat="1" applyFont="1" applyFill="1" applyBorder="1" applyAlignment="1" applyProtection="1">
      <alignment horizontal="right" vertical="center"/>
      <protection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/>
    </xf>
    <xf numFmtId="10" fontId="4" fillId="36" borderId="25" xfId="51" applyNumberFormat="1" applyFont="1" applyFill="1" applyBorder="1" applyAlignment="1" applyProtection="1">
      <alignment horizontal="right" vertical="center"/>
      <protection locked="0"/>
    </xf>
    <xf numFmtId="10" fontId="4" fillId="36" borderId="24" xfId="51" applyNumberFormat="1" applyFont="1" applyFill="1" applyBorder="1" applyAlignment="1" applyProtection="1">
      <alignment horizontal="right" vertical="center"/>
      <protection locked="0"/>
    </xf>
    <xf numFmtId="0" fontId="4" fillId="36" borderId="21" xfId="0" applyFont="1" applyFill="1" applyBorder="1" applyAlignment="1">
      <alignment horizontal="center"/>
    </xf>
    <xf numFmtId="10" fontId="4" fillId="36" borderId="21" xfId="51" applyNumberFormat="1" applyFont="1" applyFill="1" applyBorder="1" applyAlignment="1" applyProtection="1">
      <alignment horizontal="right" vertical="center"/>
      <protection locked="0"/>
    </xf>
    <xf numFmtId="172" fontId="4" fillId="36" borderId="22" xfId="62" applyFont="1" applyFill="1" applyBorder="1" applyAlignment="1" applyProtection="1">
      <alignment horizontal="left" vertical="top" wrapText="1"/>
      <protection/>
    </xf>
    <xf numFmtId="172" fontId="4" fillId="36" borderId="23" xfId="62" applyFont="1" applyFill="1" applyBorder="1" applyAlignment="1" applyProtection="1">
      <alignment horizontal="left" vertical="top" wrapText="1"/>
      <protection/>
    </xf>
    <xf numFmtId="10" fontId="9" fillId="36" borderId="16" xfId="51" applyNumberFormat="1" applyFont="1" applyFill="1" applyBorder="1" applyAlignment="1" applyProtection="1">
      <alignment horizontal="center" vertical="center"/>
      <protection/>
    </xf>
    <xf numFmtId="10" fontId="9" fillId="36" borderId="26" xfId="51" applyNumberFormat="1" applyFont="1" applyFill="1" applyBorder="1" applyAlignment="1" applyProtection="1">
      <alignment horizontal="center" vertical="center"/>
      <protection/>
    </xf>
    <xf numFmtId="172" fontId="4" fillId="36" borderId="13" xfId="62" applyFont="1" applyFill="1" applyBorder="1" applyAlignment="1" applyProtection="1">
      <alignment horizontal="left" vertical="top" wrapText="1"/>
      <protection/>
    </xf>
    <xf numFmtId="172" fontId="9" fillId="0" borderId="13" xfId="62" applyFont="1" applyFill="1" applyBorder="1" applyAlignment="1" applyProtection="1">
      <alignment horizontal="center" vertical="center"/>
      <protection/>
    </xf>
    <xf numFmtId="172" fontId="4" fillId="0" borderId="13" xfId="62" applyFont="1" applyFill="1" applyBorder="1" applyAlignment="1" applyProtection="1">
      <alignment horizontal="center" vertical="center"/>
      <protection/>
    </xf>
    <xf numFmtId="172" fontId="4" fillId="36" borderId="16" xfId="62" applyFont="1" applyFill="1" applyBorder="1" applyAlignment="1" applyProtection="1">
      <alignment horizontal="center" vertical="center"/>
      <protection/>
    </xf>
    <xf numFmtId="10" fontId="9" fillId="36" borderId="27" xfId="51" applyNumberFormat="1" applyFont="1" applyFill="1" applyBorder="1" applyAlignment="1" applyProtection="1">
      <alignment vertical="center"/>
      <protection/>
    </xf>
    <xf numFmtId="172" fontId="9" fillId="36" borderId="27" xfId="62" applyFont="1" applyFill="1" applyBorder="1" applyAlignment="1" applyProtection="1">
      <alignment horizontal="center" vertical="center"/>
      <protection/>
    </xf>
    <xf numFmtId="4" fontId="13" fillId="36" borderId="27" xfId="62" applyNumberFormat="1" applyFont="1" applyFill="1" applyBorder="1" applyAlignment="1" applyProtection="1">
      <alignment vertical="center"/>
      <protection/>
    </xf>
    <xf numFmtId="4" fontId="10" fillId="36" borderId="27" xfId="62" applyNumberFormat="1" applyFont="1" applyFill="1" applyBorder="1" applyAlignment="1" applyProtection="1">
      <alignment vertical="center"/>
      <protection/>
    </xf>
    <xf numFmtId="10" fontId="9" fillId="0" borderId="10" xfId="51" applyNumberFormat="1" applyFont="1" applyFill="1" applyBorder="1" applyAlignment="1" applyProtection="1">
      <alignment vertical="center"/>
      <protection/>
    </xf>
    <xf numFmtId="4" fontId="13" fillId="36" borderId="10" xfId="62" applyNumberFormat="1" applyFont="1" applyFill="1" applyBorder="1" applyAlignment="1" applyProtection="1">
      <alignment vertical="center"/>
      <protection/>
    </xf>
    <xf numFmtId="4" fontId="10" fillId="36" borderId="10" xfId="62" applyNumberFormat="1" applyFont="1" applyFill="1" applyBorder="1" applyAlignment="1" applyProtection="1">
      <alignment vertical="center"/>
      <protection/>
    </xf>
    <xf numFmtId="172" fontId="10" fillId="36" borderId="10" xfId="62" applyFont="1" applyFill="1" applyBorder="1" applyAlignment="1" applyProtection="1">
      <alignment vertical="center"/>
      <protection/>
    </xf>
    <xf numFmtId="171" fontId="10" fillId="36" borderId="10" xfId="62" applyNumberFormat="1" applyFont="1" applyFill="1" applyBorder="1" applyAlignment="1" applyProtection="1">
      <alignment vertical="center"/>
      <protection/>
    </xf>
    <xf numFmtId="10" fontId="4" fillId="36" borderId="10" xfId="51" applyNumberFormat="1" applyFont="1" applyFill="1" applyBorder="1" applyAlignment="1" applyProtection="1">
      <alignment horizontal="right" vertical="center"/>
      <protection/>
    </xf>
    <xf numFmtId="172" fontId="4" fillId="36" borderId="26" xfId="62" applyFont="1" applyFill="1" applyBorder="1" applyAlignment="1" applyProtection="1">
      <alignment horizontal="left" vertical="top" wrapText="1"/>
      <protection/>
    </xf>
    <xf numFmtId="172" fontId="4" fillId="36" borderId="14" xfId="62" applyFont="1" applyFill="1" applyBorder="1" applyAlignment="1" applyProtection="1">
      <alignment horizontal="left" vertical="top" wrapText="1"/>
      <protection/>
    </xf>
    <xf numFmtId="10" fontId="9" fillId="36" borderId="22" xfId="51" applyNumberFormat="1" applyFont="1" applyFill="1" applyBorder="1" applyAlignment="1" applyProtection="1">
      <alignment horizontal="center" vertical="center"/>
      <protection/>
    </xf>
    <xf numFmtId="10" fontId="9" fillId="36" borderId="23" xfId="51" applyNumberFormat="1" applyFont="1" applyFill="1" applyBorder="1" applyAlignment="1" applyProtection="1">
      <alignment horizontal="center" vertical="center"/>
      <protection/>
    </xf>
    <xf numFmtId="10" fontId="9" fillId="36" borderId="14" xfId="51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172" fontId="9" fillId="36" borderId="12" xfId="62" applyFont="1" applyFill="1" applyBorder="1" applyAlignment="1" applyProtection="1">
      <alignment horizontal="center" vertical="center"/>
      <protection/>
    </xf>
    <xf numFmtId="172" fontId="4" fillId="36" borderId="12" xfId="62" applyFont="1" applyFill="1" applyBorder="1" applyAlignment="1" applyProtection="1">
      <alignment horizontal="center" vertical="center"/>
      <protection/>
    </xf>
    <xf numFmtId="0" fontId="10" fillId="36" borderId="28" xfId="0" applyFont="1" applyFill="1" applyBorder="1" applyAlignment="1">
      <alignment horizontal="center" vertical="center"/>
    </xf>
    <xf numFmtId="0" fontId="10" fillId="36" borderId="28" xfId="0" applyFont="1" applyFill="1" applyBorder="1" applyAlignment="1">
      <alignment horizontal="right" vertical="center"/>
    </xf>
    <xf numFmtId="0" fontId="10" fillId="36" borderId="28" xfId="0" applyFont="1" applyFill="1" applyBorder="1" applyAlignment="1">
      <alignment horizontal="justify" vertical="center" wrapText="1"/>
    </xf>
    <xf numFmtId="172" fontId="10" fillId="36" borderId="28" xfId="62" applyFont="1" applyFill="1" applyBorder="1" applyAlignment="1" applyProtection="1">
      <alignment vertical="center"/>
      <protection/>
    </xf>
    <xf numFmtId="171" fontId="10" fillId="36" borderId="28" xfId="62" applyNumberFormat="1" applyFont="1" applyFill="1" applyBorder="1" applyAlignment="1" applyProtection="1">
      <alignment vertical="center"/>
      <protection/>
    </xf>
    <xf numFmtId="4" fontId="10" fillId="36" borderId="29" xfId="62" applyNumberFormat="1" applyFont="1" applyFill="1" applyBorder="1" applyAlignment="1" applyProtection="1">
      <alignment vertical="center"/>
      <protection/>
    </xf>
    <xf numFmtId="0" fontId="10" fillId="36" borderId="30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right" vertical="center"/>
    </xf>
    <xf numFmtId="0" fontId="10" fillId="36" borderId="30" xfId="0" applyFont="1" applyFill="1" applyBorder="1" applyAlignment="1">
      <alignment horizontal="justify" vertical="center" wrapText="1"/>
    </xf>
    <xf numFmtId="4" fontId="10" fillId="36" borderId="30" xfId="62" applyNumberFormat="1" applyFont="1" applyFill="1" applyBorder="1" applyAlignment="1" applyProtection="1">
      <alignment vertical="center"/>
      <protection/>
    </xf>
    <xf numFmtId="4" fontId="10" fillId="36" borderId="30" xfId="0" applyNumberFormat="1" applyFont="1" applyFill="1" applyBorder="1" applyAlignment="1">
      <alignment vertical="center"/>
    </xf>
    <xf numFmtId="171" fontId="10" fillId="36" borderId="30" xfId="62" applyNumberFormat="1" applyFont="1" applyFill="1" applyBorder="1" applyAlignment="1" applyProtection="1">
      <alignment vertical="center"/>
      <protection/>
    </xf>
    <xf numFmtId="4" fontId="10" fillId="36" borderId="31" xfId="62" applyNumberFormat="1" applyFont="1" applyFill="1" applyBorder="1" applyAlignment="1" applyProtection="1">
      <alignment vertical="center"/>
      <protection/>
    </xf>
    <xf numFmtId="0" fontId="10" fillId="36" borderId="32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justify" vertical="center" wrapText="1"/>
    </xf>
    <xf numFmtId="4" fontId="10" fillId="36" borderId="32" xfId="62" applyNumberFormat="1" applyFont="1" applyFill="1" applyBorder="1" applyAlignment="1" applyProtection="1">
      <alignment vertical="center"/>
      <protection/>
    </xf>
    <xf numFmtId="0" fontId="10" fillId="36" borderId="32" xfId="0" applyFont="1" applyFill="1" applyBorder="1" applyAlignment="1">
      <alignment vertical="center"/>
    </xf>
    <xf numFmtId="171" fontId="10" fillId="36" borderId="32" xfId="62" applyNumberFormat="1" applyFont="1" applyFill="1" applyBorder="1" applyAlignment="1" applyProtection="1">
      <alignment vertical="center"/>
      <protection/>
    </xf>
    <xf numFmtId="4" fontId="10" fillId="36" borderId="33" xfId="62" applyNumberFormat="1" applyFont="1" applyFill="1" applyBorder="1" applyAlignment="1" applyProtection="1">
      <alignment vertical="center"/>
      <protection/>
    </xf>
    <xf numFmtId="4" fontId="10" fillId="36" borderId="28" xfId="62" applyNumberFormat="1" applyFont="1" applyFill="1" applyBorder="1" applyAlignment="1" applyProtection="1">
      <alignment vertical="center"/>
      <protection/>
    </xf>
    <xf numFmtId="4" fontId="10" fillId="36" borderId="28" xfId="0" applyNumberFormat="1" applyFont="1" applyFill="1" applyBorder="1" applyAlignment="1">
      <alignment vertical="center"/>
    </xf>
    <xf numFmtId="0" fontId="10" fillId="36" borderId="30" xfId="0" applyFont="1" applyFill="1" applyBorder="1" applyAlignment="1">
      <alignment vertical="center"/>
    </xf>
    <xf numFmtId="4" fontId="10" fillId="36" borderId="30" xfId="62" applyNumberFormat="1" applyFont="1" applyFill="1" applyBorder="1" applyAlignment="1" applyProtection="1">
      <alignment horizontal="right" vertical="center"/>
      <protection/>
    </xf>
    <xf numFmtId="4" fontId="10" fillId="36" borderId="32" xfId="62" applyNumberFormat="1" applyFont="1" applyFill="1" applyBorder="1" applyAlignment="1" applyProtection="1">
      <alignment horizontal="right" vertical="center"/>
      <protection/>
    </xf>
    <xf numFmtId="4" fontId="10" fillId="36" borderId="32" xfId="0" applyNumberFormat="1" applyFont="1" applyFill="1" applyBorder="1" applyAlignment="1">
      <alignment vertical="center"/>
    </xf>
    <xf numFmtId="0" fontId="10" fillId="36" borderId="28" xfId="0" applyFont="1" applyFill="1" applyBorder="1" applyAlignment="1">
      <alignment vertical="center"/>
    </xf>
    <xf numFmtId="0" fontId="4" fillId="36" borderId="30" xfId="0" applyFont="1" applyFill="1" applyBorder="1" applyAlignment="1">
      <alignment horizontal="center" vertical="center"/>
    </xf>
    <xf numFmtId="4" fontId="4" fillId="36" borderId="30" xfId="62" applyNumberFormat="1" applyFont="1" applyFill="1" applyBorder="1" applyAlignment="1" applyProtection="1">
      <alignment vertical="center"/>
      <protection/>
    </xf>
    <xf numFmtId="0" fontId="4" fillId="36" borderId="30" xfId="0" applyFont="1" applyFill="1" applyBorder="1" applyAlignment="1">
      <alignment vertical="center"/>
    </xf>
    <xf numFmtId="4" fontId="4" fillId="36" borderId="31" xfId="62" applyNumberFormat="1" applyFont="1" applyFill="1" applyBorder="1" applyAlignment="1" applyProtection="1">
      <alignment vertical="center"/>
      <protection/>
    </xf>
    <xf numFmtId="172" fontId="10" fillId="36" borderId="34" xfId="62" applyFont="1" applyFill="1" applyBorder="1" applyAlignment="1" applyProtection="1">
      <alignment vertical="center"/>
      <protection/>
    </xf>
    <xf numFmtId="171" fontId="10" fillId="36" borderId="34" xfId="62" applyNumberFormat="1" applyFont="1" applyFill="1" applyBorder="1" applyAlignment="1" applyProtection="1">
      <alignment vertical="center"/>
      <protection/>
    </xf>
    <xf numFmtId="4" fontId="10" fillId="36" borderId="34" xfId="62" applyNumberFormat="1" applyFont="1" applyFill="1" applyBorder="1" applyAlignment="1" applyProtection="1">
      <alignment vertical="center"/>
      <protection/>
    </xf>
    <xf numFmtId="10" fontId="4" fillId="36" borderId="34" xfId="51" applyNumberFormat="1" applyFont="1" applyFill="1" applyBorder="1" applyAlignment="1" applyProtection="1">
      <alignment horizontal="right" vertical="center"/>
      <protection/>
    </xf>
    <xf numFmtId="172" fontId="10" fillId="36" borderId="35" xfId="62" applyFont="1" applyFill="1" applyBorder="1" applyAlignment="1" applyProtection="1">
      <alignment vertical="center"/>
      <protection/>
    </xf>
    <xf numFmtId="171" fontId="10" fillId="36" borderId="35" xfId="62" applyNumberFormat="1" applyFont="1" applyFill="1" applyBorder="1" applyAlignment="1" applyProtection="1">
      <alignment vertical="center"/>
      <protection/>
    </xf>
    <xf numFmtId="4" fontId="10" fillId="36" borderId="35" xfId="62" applyNumberFormat="1" applyFont="1" applyFill="1" applyBorder="1" applyAlignment="1" applyProtection="1">
      <alignment vertical="center"/>
      <protection/>
    </xf>
    <xf numFmtId="10" fontId="4" fillId="36" borderId="35" xfId="51" applyNumberFormat="1" applyFont="1" applyFill="1" applyBorder="1" applyAlignment="1" applyProtection="1">
      <alignment horizontal="right" vertical="center"/>
      <protection/>
    </xf>
    <xf numFmtId="172" fontId="10" fillId="36" borderId="36" xfId="62" applyFont="1" applyFill="1" applyBorder="1" applyAlignment="1" applyProtection="1">
      <alignment vertical="center"/>
      <protection/>
    </xf>
    <xf numFmtId="171" fontId="10" fillId="36" borderId="36" xfId="62" applyNumberFormat="1" applyFont="1" applyFill="1" applyBorder="1" applyAlignment="1" applyProtection="1">
      <alignment vertical="center"/>
      <protection/>
    </xf>
    <xf numFmtId="4" fontId="10" fillId="36" borderId="36" xfId="62" applyNumberFormat="1" applyFont="1" applyFill="1" applyBorder="1" applyAlignment="1" applyProtection="1">
      <alignment vertical="center"/>
      <protection/>
    </xf>
    <xf numFmtId="10" fontId="4" fillId="36" borderId="36" xfId="51" applyNumberFormat="1" applyFont="1" applyFill="1" applyBorder="1" applyAlignment="1" applyProtection="1">
      <alignment horizontal="right" vertical="center"/>
      <protection/>
    </xf>
    <xf numFmtId="0" fontId="4" fillId="36" borderId="28" xfId="0" applyFont="1" applyFill="1" applyBorder="1" applyAlignment="1">
      <alignment horizontal="justify" vertical="center" wrapText="1"/>
    </xf>
    <xf numFmtId="0" fontId="4" fillId="36" borderId="28" xfId="0" applyFont="1" applyFill="1" applyBorder="1" applyAlignment="1">
      <alignment horizontal="center" vertical="center"/>
    </xf>
    <xf numFmtId="4" fontId="4" fillId="36" borderId="28" xfId="62" applyNumberFormat="1" applyFont="1" applyFill="1" applyBorder="1" applyAlignment="1" applyProtection="1">
      <alignment vertical="center"/>
      <protection/>
    </xf>
    <xf numFmtId="0" fontId="4" fillId="36" borderId="30" xfId="0" applyFont="1" applyFill="1" applyBorder="1" applyAlignment="1">
      <alignment horizontal="right" vertical="center"/>
    </xf>
    <xf numFmtId="0" fontId="4" fillId="36" borderId="30" xfId="0" applyFont="1" applyFill="1" applyBorder="1" applyAlignment="1">
      <alignment horizontal="justify" vertical="center" wrapText="1"/>
    </xf>
    <xf numFmtId="0" fontId="4" fillId="36" borderId="37" xfId="0" applyFont="1" applyFill="1" applyBorder="1" applyAlignment="1">
      <alignment vertical="center"/>
    </xf>
    <xf numFmtId="0" fontId="4" fillId="36" borderId="32" xfId="0" applyFont="1" applyFill="1" applyBorder="1" applyAlignment="1">
      <alignment horizontal="justify" vertical="center" wrapText="1"/>
    </xf>
    <xf numFmtId="0" fontId="4" fillId="36" borderId="32" xfId="0" applyFont="1" applyFill="1" applyBorder="1" applyAlignment="1">
      <alignment horizontal="center" vertical="center"/>
    </xf>
    <xf numFmtId="4" fontId="4" fillId="36" borderId="32" xfId="62" applyNumberFormat="1" applyFont="1" applyFill="1" applyBorder="1" applyAlignment="1" applyProtection="1">
      <alignment vertical="center"/>
      <protection/>
    </xf>
    <xf numFmtId="0" fontId="10" fillId="36" borderId="38" xfId="0" applyFont="1" applyFill="1" applyBorder="1" applyAlignment="1">
      <alignment vertical="center"/>
    </xf>
    <xf numFmtId="0" fontId="10" fillId="36" borderId="37" xfId="0" applyFont="1" applyFill="1" applyBorder="1" applyAlignment="1">
      <alignment vertical="center" wrapText="1"/>
    </xf>
    <xf numFmtId="0" fontId="10" fillId="36" borderId="31" xfId="0" applyFont="1" applyFill="1" applyBorder="1" applyAlignment="1">
      <alignment vertical="center"/>
    </xf>
    <xf numFmtId="0" fontId="10" fillId="36" borderId="35" xfId="0" applyFont="1" applyFill="1" applyBorder="1" applyAlignment="1">
      <alignment vertical="center" wrapText="1"/>
    </xf>
    <xf numFmtId="0" fontId="10" fillId="36" borderId="35" xfId="0" applyFont="1" applyFill="1" applyBorder="1" applyAlignment="1">
      <alignment vertical="center"/>
    </xf>
    <xf numFmtId="0" fontId="10" fillId="36" borderId="37" xfId="0" applyFont="1" applyFill="1" applyBorder="1" applyAlignment="1">
      <alignment vertical="center"/>
    </xf>
    <xf numFmtId="0" fontId="10" fillId="36" borderId="31" xfId="0" applyFont="1" applyFill="1" applyBorder="1" applyAlignment="1">
      <alignment horizontal="right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right" vertical="center"/>
    </xf>
    <xf numFmtId="4" fontId="10" fillId="36" borderId="40" xfId="0" applyNumberFormat="1" applyFont="1" applyFill="1" applyBorder="1" applyAlignment="1">
      <alignment vertical="center"/>
    </xf>
    <xf numFmtId="4" fontId="10" fillId="36" borderId="42" xfId="62" applyNumberFormat="1" applyFont="1" applyFill="1" applyBorder="1" applyAlignment="1" applyProtection="1">
      <alignment vertical="center"/>
      <protection/>
    </xf>
    <xf numFmtId="4" fontId="10" fillId="36" borderId="40" xfId="62" applyNumberFormat="1" applyFont="1" applyFill="1" applyBorder="1" applyAlignment="1" applyProtection="1">
      <alignment vertical="center"/>
      <protection/>
    </xf>
    <xf numFmtId="4" fontId="10" fillId="36" borderId="43" xfId="62" applyNumberFormat="1" applyFont="1" applyFill="1" applyBorder="1" applyAlignment="1" applyProtection="1">
      <alignment vertical="center"/>
      <protection/>
    </xf>
    <xf numFmtId="172" fontId="10" fillId="36" borderId="21" xfId="62" applyFont="1" applyFill="1" applyBorder="1" applyAlignment="1" applyProtection="1">
      <alignment vertical="center"/>
      <protection/>
    </xf>
    <xf numFmtId="171" fontId="10" fillId="36" borderId="21" xfId="62" applyNumberFormat="1" applyFont="1" applyFill="1" applyBorder="1" applyAlignment="1" applyProtection="1">
      <alignment vertical="center"/>
      <protection/>
    </xf>
    <xf numFmtId="4" fontId="10" fillId="36" borderId="21" xfId="62" applyNumberFormat="1" applyFont="1" applyFill="1" applyBorder="1" applyAlignment="1" applyProtection="1">
      <alignment vertical="center"/>
      <protection/>
    </xf>
    <xf numFmtId="10" fontId="4" fillId="36" borderId="21" xfId="51" applyNumberFormat="1" applyFont="1" applyFill="1" applyBorder="1" applyAlignment="1" applyProtection="1">
      <alignment horizontal="right" vertical="center"/>
      <protection/>
    </xf>
    <xf numFmtId="0" fontId="10" fillId="36" borderId="44" xfId="0" applyFont="1" applyFill="1" applyBorder="1" applyAlignment="1">
      <alignment horizontal="right" vertical="center"/>
    </xf>
    <xf numFmtId="172" fontId="10" fillId="36" borderId="30" xfId="62" applyFont="1" applyFill="1" applyBorder="1" applyAlignment="1" applyProtection="1">
      <alignment vertical="center"/>
      <protection/>
    </xf>
    <xf numFmtId="4" fontId="10" fillId="36" borderId="39" xfId="0" applyNumberFormat="1" applyFont="1" applyFill="1" applyBorder="1" applyAlignment="1">
      <alignment vertical="center"/>
    </xf>
    <xf numFmtId="172" fontId="10" fillId="36" borderId="30" xfId="62" applyFont="1" applyFill="1" applyBorder="1" applyAlignment="1" applyProtection="1">
      <alignment/>
      <protection/>
    </xf>
    <xf numFmtId="172" fontId="10" fillId="36" borderId="30" xfId="62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4" fontId="7" fillId="36" borderId="46" xfId="0" applyNumberFormat="1" applyFont="1" applyFill="1" applyBorder="1" applyAlignment="1" applyProtection="1">
      <alignment vertical="center"/>
      <protection/>
    </xf>
    <xf numFmtId="4" fontId="10" fillId="36" borderId="47" xfId="62" applyNumberFormat="1" applyFont="1" applyFill="1" applyBorder="1" applyAlignment="1" applyProtection="1">
      <alignment vertical="center"/>
      <protection/>
    </xf>
    <xf numFmtId="4" fontId="10" fillId="36" borderId="48" xfId="62" applyNumberFormat="1" applyFont="1" applyFill="1" applyBorder="1" applyAlignment="1" applyProtection="1">
      <alignment vertical="center"/>
      <protection/>
    </xf>
    <xf numFmtId="4" fontId="10" fillId="36" borderId="46" xfId="62" applyNumberFormat="1" applyFont="1" applyFill="1" applyBorder="1" applyAlignment="1" applyProtection="1">
      <alignment vertical="center"/>
      <protection/>
    </xf>
    <xf numFmtId="4" fontId="4" fillId="36" borderId="47" xfId="62" applyNumberFormat="1" applyFont="1" applyFill="1" applyBorder="1" applyAlignment="1" applyProtection="1">
      <alignment vertical="center"/>
      <protection/>
    </xf>
    <xf numFmtId="172" fontId="6" fillId="36" borderId="11" xfId="62" applyFont="1" applyFill="1" applyBorder="1" applyAlignment="1" applyProtection="1">
      <alignment vertical="center"/>
      <protection/>
    </xf>
    <xf numFmtId="4" fontId="13" fillId="36" borderId="45" xfId="62" applyNumberFormat="1" applyFont="1" applyFill="1" applyBorder="1" applyAlignment="1" applyProtection="1">
      <alignment vertical="center"/>
      <protection/>
    </xf>
    <xf numFmtId="172" fontId="6" fillId="36" borderId="18" xfId="62" applyFont="1" applyFill="1" applyBorder="1" applyAlignment="1" applyProtection="1">
      <alignment vertical="center"/>
      <protection/>
    </xf>
    <xf numFmtId="172" fontId="0" fillId="0" borderId="0" xfId="62" applyFont="1" applyFill="1" applyBorder="1" applyAlignment="1" applyProtection="1">
      <alignment/>
      <protection/>
    </xf>
    <xf numFmtId="172" fontId="0" fillId="36" borderId="18" xfId="62" applyFont="1" applyFill="1" applyBorder="1" applyAlignment="1" applyProtection="1">
      <alignment/>
      <protection/>
    </xf>
    <xf numFmtId="0" fontId="0" fillId="36" borderId="12" xfId="0" applyFill="1" applyBorder="1" applyAlignment="1">
      <alignment horizontal="center"/>
    </xf>
    <xf numFmtId="10" fontId="9" fillId="36" borderId="12" xfId="51" applyNumberFormat="1" applyFont="1" applyFill="1" applyBorder="1" applyAlignment="1" applyProtection="1">
      <alignment vertical="center"/>
      <protection/>
    </xf>
    <xf numFmtId="4" fontId="13" fillId="36" borderId="12" xfId="62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>
      <alignment vertical="center"/>
    </xf>
    <xf numFmtId="172" fontId="4" fillId="36" borderId="26" xfId="62" applyFont="1" applyFill="1" applyBorder="1" applyAlignment="1" applyProtection="1">
      <alignment horizontal="center" vertical="center"/>
      <protection/>
    </xf>
    <xf numFmtId="10" fontId="9" fillId="36" borderId="49" xfId="51" applyNumberFormat="1" applyFont="1" applyFill="1" applyBorder="1" applyAlignment="1" applyProtection="1">
      <alignment vertical="center"/>
      <protection/>
    </xf>
    <xf numFmtId="172" fontId="9" fillId="36" borderId="49" xfId="62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10" fontId="3" fillId="0" borderId="0" xfId="62" applyNumberFormat="1" applyFont="1" applyFill="1" applyBorder="1" applyAlignment="1" applyProtection="1">
      <alignment vertical="center"/>
      <protection/>
    </xf>
    <xf numFmtId="10" fontId="2" fillId="0" borderId="0" xfId="62" applyNumberFormat="1" applyFont="1" applyFill="1" applyBorder="1" applyAlignment="1" applyProtection="1">
      <alignment vertical="center"/>
      <protection/>
    </xf>
    <xf numFmtId="172" fontId="18" fillId="0" borderId="0" xfId="62" applyFont="1" applyFill="1" applyBorder="1" applyAlignment="1" applyProtection="1">
      <alignment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justify" vertical="center" wrapText="1"/>
    </xf>
    <xf numFmtId="4" fontId="4" fillId="0" borderId="32" xfId="62" applyNumberFormat="1" applyFont="1" applyFill="1" applyBorder="1" applyAlignment="1" applyProtection="1">
      <alignment vertical="center"/>
      <protection/>
    </xf>
    <xf numFmtId="4" fontId="4" fillId="0" borderId="50" xfId="62" applyNumberFormat="1" applyFont="1" applyFill="1" applyBorder="1" applyAlignment="1" applyProtection="1">
      <alignment vertical="center"/>
      <protection/>
    </xf>
    <xf numFmtId="4" fontId="4" fillId="0" borderId="12" xfId="62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center" vertical="center"/>
    </xf>
    <xf numFmtId="4" fontId="4" fillId="0" borderId="28" xfId="62" applyNumberFormat="1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/>
    </xf>
    <xf numFmtId="4" fontId="4" fillId="0" borderId="30" xfId="62" applyNumberFormat="1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justify" vertical="center" wrapText="1"/>
    </xf>
    <xf numFmtId="4" fontId="4" fillId="0" borderId="17" xfId="62" applyNumberFormat="1" applyFont="1" applyFill="1" applyBorder="1" applyAlignment="1" applyProtection="1">
      <alignment vertical="center"/>
      <protection/>
    </xf>
    <xf numFmtId="4" fontId="9" fillId="0" borderId="17" xfId="0" applyNumberFormat="1" applyFont="1" applyFill="1" applyBorder="1" applyAlignment="1">
      <alignment vertical="center"/>
    </xf>
    <xf numFmtId="4" fontId="9" fillId="0" borderId="49" xfId="62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51" xfId="62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Fill="1" applyBorder="1" applyAlignment="1">
      <alignment vertical="center"/>
    </xf>
    <xf numFmtId="4" fontId="4" fillId="0" borderId="44" xfId="62" applyNumberFormat="1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justify" vertical="center" wrapText="1"/>
    </xf>
    <xf numFmtId="4" fontId="4" fillId="0" borderId="52" xfId="62" applyNumberFormat="1" applyFont="1" applyFill="1" applyBorder="1" applyAlignment="1" applyProtection="1">
      <alignment vertical="center"/>
      <protection/>
    </xf>
    <xf numFmtId="4" fontId="4" fillId="0" borderId="52" xfId="0" applyNumberFormat="1" applyFont="1" applyFill="1" applyBorder="1" applyAlignment="1">
      <alignment vertical="center"/>
    </xf>
    <xf numFmtId="4" fontId="4" fillId="0" borderId="53" xfId="62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justify" vertical="center" wrapText="1"/>
    </xf>
    <xf numFmtId="4" fontId="4" fillId="0" borderId="17" xfId="0" applyNumberFormat="1" applyFont="1" applyFill="1" applyBorder="1" applyAlignment="1">
      <alignment vertical="center"/>
    </xf>
    <xf numFmtId="4" fontId="4" fillId="0" borderId="49" xfId="62" applyNumberFormat="1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" fontId="9" fillId="0" borderId="17" xfId="62" applyNumberFormat="1" applyFont="1" applyFill="1" applyBorder="1" applyAlignment="1" applyProtection="1">
      <alignment vertical="center"/>
      <protection/>
    </xf>
    <xf numFmtId="4" fontId="61" fillId="0" borderId="12" xfId="62" applyNumberFormat="1" applyFont="1" applyFill="1" applyBorder="1" applyAlignment="1" applyProtection="1">
      <alignment vertical="center"/>
      <protection/>
    </xf>
    <xf numFmtId="4" fontId="61" fillId="0" borderId="0" xfId="62" applyNumberFormat="1" applyFont="1" applyFill="1" applyBorder="1" applyAlignment="1" applyProtection="1">
      <alignment vertical="center"/>
      <protection/>
    </xf>
    <xf numFmtId="4" fontId="62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4" fontId="10" fillId="0" borderId="12" xfId="62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Alignment="1">
      <alignment horizontal="center"/>
    </xf>
    <xf numFmtId="4" fontId="1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13" fillId="0" borderId="12" xfId="62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4" fontId="4" fillId="0" borderId="40" xfId="0" applyNumberFormat="1" applyFont="1" applyFill="1" applyBorder="1" applyAlignment="1">
      <alignment vertical="center"/>
    </xf>
    <xf numFmtId="4" fontId="4" fillId="0" borderId="42" xfId="62" applyNumberFormat="1" applyFont="1" applyFill="1" applyBorder="1" applyAlignment="1" applyProtection="1">
      <alignment vertical="center"/>
      <protection/>
    </xf>
    <xf numFmtId="4" fontId="4" fillId="0" borderId="40" xfId="62" applyNumberFormat="1" applyFont="1" applyFill="1" applyBorder="1" applyAlignment="1" applyProtection="1">
      <alignment vertical="center"/>
      <protection/>
    </xf>
    <xf numFmtId="4" fontId="4" fillId="0" borderId="54" xfId="62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right" vertical="center"/>
    </xf>
    <xf numFmtId="172" fontId="4" fillId="0" borderId="30" xfId="62" applyFont="1" applyFill="1" applyBorder="1" applyAlignment="1" applyProtection="1">
      <alignment vertical="center"/>
      <protection/>
    </xf>
    <xf numFmtId="4" fontId="4" fillId="0" borderId="39" xfId="0" applyNumberFormat="1" applyFont="1" applyFill="1" applyBorder="1" applyAlignment="1">
      <alignment vertical="center"/>
    </xf>
    <xf numFmtId="172" fontId="10" fillId="0" borderId="0" xfId="62" applyFont="1" applyFill="1" applyBorder="1" applyAlignment="1" applyProtection="1">
      <alignment vertical="center"/>
      <protection/>
    </xf>
    <xf numFmtId="0" fontId="4" fillId="0" borderId="3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172" fontId="4" fillId="0" borderId="30" xfId="62" applyFont="1" applyFill="1" applyBorder="1" applyAlignment="1" applyProtection="1">
      <alignment/>
      <protection/>
    </xf>
    <xf numFmtId="172" fontId="4" fillId="0" borderId="30" xfId="62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vertical="center"/>
    </xf>
    <xf numFmtId="49" fontId="9" fillId="36" borderId="10" xfId="62" applyNumberFormat="1" applyFont="1" applyFill="1" applyBorder="1" applyAlignment="1" applyProtection="1">
      <alignment horizontal="center" vertical="center" wrapText="1"/>
      <protection/>
    </xf>
    <xf numFmtId="172" fontId="9" fillId="36" borderId="10" xfId="62" applyFont="1" applyFill="1" applyBorder="1" applyAlignment="1" applyProtection="1">
      <alignment horizontal="center" vertical="center"/>
      <protection/>
    </xf>
    <xf numFmtId="172" fontId="9" fillId="36" borderId="25" xfId="62" applyFont="1" applyFill="1" applyBorder="1" applyAlignment="1" applyProtection="1">
      <alignment horizontal="center" vertical="center"/>
      <protection/>
    </xf>
    <xf numFmtId="172" fontId="9" fillId="36" borderId="21" xfId="62" applyFont="1" applyFill="1" applyBorder="1" applyAlignment="1" applyProtection="1">
      <alignment horizontal="center" vertical="center"/>
      <protection/>
    </xf>
    <xf numFmtId="4" fontId="7" fillId="36" borderId="35" xfId="0" applyNumberFormat="1" applyFont="1" applyFill="1" applyBorder="1" applyAlignment="1" applyProtection="1">
      <alignment horizontal="center" vertical="center"/>
      <protection/>
    </xf>
    <xf numFmtId="4" fontId="7" fillId="36" borderId="34" xfId="0" applyNumberFormat="1" applyFont="1" applyFill="1" applyBorder="1" applyAlignment="1" applyProtection="1">
      <alignment horizontal="center" vertical="center"/>
      <protection/>
    </xf>
    <xf numFmtId="4" fontId="7" fillId="36" borderId="36" xfId="0" applyNumberFormat="1" applyFont="1" applyFill="1" applyBorder="1" applyAlignment="1" applyProtection="1">
      <alignment horizontal="center" vertical="center"/>
      <protection/>
    </xf>
    <xf numFmtId="4" fontId="7" fillId="36" borderId="1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55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172" fontId="9" fillId="36" borderId="55" xfId="62" applyFont="1" applyFill="1" applyBorder="1" applyAlignment="1" applyProtection="1">
      <alignment horizontal="center" vertical="center"/>
      <protection/>
    </xf>
    <xf numFmtId="0" fontId="9" fillId="36" borderId="56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3" fontId="9" fillId="36" borderId="57" xfId="62" applyNumberFormat="1" applyFont="1" applyFill="1" applyBorder="1" applyAlignment="1" applyProtection="1">
      <alignment horizontal="center" vertical="center"/>
      <protection/>
    </xf>
    <xf numFmtId="3" fontId="9" fillId="36" borderId="58" xfId="62" applyNumberFormat="1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4" fillId="36" borderId="13" xfId="0" applyFont="1" applyFill="1" applyBorder="1" applyAlignment="1" applyProtection="1">
      <alignment horizontal="left" vertical="center"/>
      <protection/>
    </xf>
    <xf numFmtId="0" fontId="9" fillId="36" borderId="25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4" fillId="36" borderId="0" xfId="0" applyNumberFormat="1" applyFont="1" applyFill="1" applyAlignment="1">
      <alignment horizontal="left" wrapText="1"/>
    </xf>
    <xf numFmtId="0" fontId="0" fillId="0" borderId="18" xfId="0" applyBorder="1" applyAlignment="1">
      <alignment horizontal="center"/>
    </xf>
    <xf numFmtId="172" fontId="9" fillId="36" borderId="59" xfId="62" applyFont="1" applyFill="1" applyBorder="1" applyAlignment="1" applyProtection="1">
      <alignment horizontal="center" vertical="center"/>
      <protection/>
    </xf>
    <xf numFmtId="172" fontId="9" fillId="36" borderId="40" xfId="62" applyFont="1" applyFill="1" applyBorder="1" applyAlignment="1" applyProtection="1">
      <alignment horizontal="center" vertical="center"/>
      <protection/>
    </xf>
    <xf numFmtId="172" fontId="9" fillId="36" borderId="18" xfId="62" applyFont="1" applyFill="1" applyBorder="1" applyAlignment="1" applyProtection="1">
      <alignment horizontal="center" vertical="center"/>
      <protection/>
    </xf>
    <xf numFmtId="0" fontId="9" fillId="36" borderId="16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10" fontId="9" fillId="36" borderId="15" xfId="51" applyNumberFormat="1" applyFont="1" applyFill="1" applyBorder="1" applyAlignment="1" applyProtection="1">
      <alignment horizontal="center" vertical="center"/>
      <protection/>
    </xf>
    <xf numFmtId="10" fontId="9" fillId="36" borderId="12" xfId="51" applyNumberFormat="1" applyFont="1" applyFill="1" applyBorder="1" applyAlignment="1" applyProtection="1">
      <alignment horizontal="center" vertical="center"/>
      <protection/>
    </xf>
    <xf numFmtId="172" fontId="9" fillId="36" borderId="24" xfId="62" applyFont="1" applyFill="1" applyBorder="1" applyAlignment="1" applyProtection="1">
      <alignment horizontal="center" vertical="center"/>
      <protection/>
    </xf>
    <xf numFmtId="172" fontId="4" fillId="36" borderId="15" xfId="62" applyFont="1" applyFill="1" applyBorder="1" applyAlignment="1" applyProtection="1">
      <alignment horizontal="left" vertical="top" wrapText="1"/>
      <protection/>
    </xf>
    <xf numFmtId="172" fontId="4" fillId="36" borderId="16" xfId="62" applyFont="1" applyFill="1" applyBorder="1" applyAlignment="1" applyProtection="1">
      <alignment horizontal="left" vertical="top" wrapText="1"/>
      <protection/>
    </xf>
    <xf numFmtId="172" fontId="4" fillId="36" borderId="12" xfId="62" applyFont="1" applyFill="1" applyBorder="1" applyAlignment="1" applyProtection="1">
      <alignment horizontal="left" vertical="top" wrapText="1"/>
      <protection/>
    </xf>
    <xf numFmtId="172" fontId="4" fillId="36" borderId="0" xfId="62" applyFont="1" applyFill="1" applyBorder="1" applyAlignment="1" applyProtection="1">
      <alignment horizontal="left" vertical="top" wrapText="1"/>
      <protection/>
    </xf>
    <xf numFmtId="172" fontId="4" fillId="36" borderId="22" xfId="62" applyFont="1" applyFill="1" applyBorder="1" applyAlignment="1" applyProtection="1">
      <alignment horizontal="left" vertical="top" wrapText="1"/>
      <protection/>
    </xf>
    <xf numFmtId="172" fontId="4" fillId="36" borderId="23" xfId="62" applyFont="1" applyFill="1" applyBorder="1" applyAlignment="1" applyProtection="1">
      <alignment horizontal="left" vertical="top" wrapText="1"/>
      <protection/>
    </xf>
    <xf numFmtId="0" fontId="4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horizontal="left" vertical="center"/>
      <protection/>
    </xf>
    <xf numFmtId="0" fontId="4" fillId="36" borderId="22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172" fontId="4" fillId="36" borderId="26" xfId="62" applyFont="1" applyFill="1" applyBorder="1" applyAlignment="1" applyProtection="1">
      <alignment horizontal="left" vertical="top" wrapText="1"/>
      <protection/>
    </xf>
    <xf numFmtId="172" fontId="4" fillId="36" borderId="13" xfId="62" applyFont="1" applyFill="1" applyBorder="1" applyAlignment="1" applyProtection="1">
      <alignment horizontal="left" vertical="top" wrapText="1"/>
      <protection/>
    </xf>
    <xf numFmtId="172" fontId="4" fillId="36" borderId="14" xfId="62" applyFont="1" applyFill="1" applyBorder="1" applyAlignment="1" applyProtection="1">
      <alignment horizontal="left" vertical="top" wrapText="1"/>
      <protection/>
    </xf>
    <xf numFmtId="0" fontId="0" fillId="0" borderId="45" xfId="0" applyBorder="1" applyAlignment="1">
      <alignment horizontal="center"/>
    </xf>
    <xf numFmtId="172" fontId="9" fillId="36" borderId="60" xfId="62" applyFont="1" applyFill="1" applyBorder="1" applyAlignment="1" applyProtection="1">
      <alignment horizontal="center" vertical="center"/>
      <protection/>
    </xf>
    <xf numFmtId="172" fontId="9" fillId="36" borderId="45" xfId="62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0" fontId="9" fillId="36" borderId="25" xfId="51" applyNumberFormat="1" applyFont="1" applyFill="1" applyBorder="1" applyAlignment="1" applyProtection="1">
      <alignment horizontal="center" vertical="center"/>
      <protection/>
    </xf>
    <xf numFmtId="10" fontId="9" fillId="36" borderId="24" xfId="5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4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6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28575</xdr:rowOff>
    </xdr:from>
    <xdr:to>
      <xdr:col>7</xdr:col>
      <xdr:colOff>38100</xdr:colOff>
      <xdr:row>4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447800" y="28575"/>
          <a:ext cx="6819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ADMINISTRAÇÃO: “JANAÚBA BEM MELHOR PARA TODOS” – 2009-2012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209550</xdr:colOff>
      <xdr:row>16</xdr:row>
      <xdr:rowOff>0</xdr:rowOff>
    </xdr:from>
    <xdr:to>
      <xdr:col>9</xdr:col>
      <xdr:colOff>219075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7162800" y="23050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152400</xdr:rowOff>
    </xdr:from>
    <xdr:to>
      <xdr:col>9</xdr:col>
      <xdr:colOff>752475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8553450" y="1114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2</xdr:col>
      <xdr:colOff>171450</xdr:colOff>
      <xdr:row>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667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</xdr:col>
      <xdr:colOff>762000</xdr:colOff>
      <xdr:row>161</xdr:row>
      <xdr:rowOff>152400</xdr:rowOff>
    </xdr:from>
    <xdr:to>
      <xdr:col>3</xdr:col>
      <xdr:colOff>3276600</xdr:colOff>
      <xdr:row>161</xdr:row>
      <xdr:rowOff>152400</xdr:rowOff>
    </xdr:to>
    <xdr:sp>
      <xdr:nvSpPr>
        <xdr:cNvPr id="5" name="Line 5"/>
        <xdr:cNvSpPr>
          <a:spLocks/>
        </xdr:cNvSpPr>
      </xdr:nvSpPr>
      <xdr:spPr>
        <a:xfrm>
          <a:off x="2390775" y="295846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28575</xdr:rowOff>
    </xdr:from>
    <xdr:to>
      <xdr:col>7</xdr:col>
      <xdr:colOff>38100</xdr:colOff>
      <xdr:row>4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447800" y="28575"/>
          <a:ext cx="6819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ADMINISTRAÇÃO: “NOVOS CAMINHOS” – 2013-2016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209550</xdr:colOff>
      <xdr:row>16</xdr:row>
      <xdr:rowOff>0</xdr:rowOff>
    </xdr:from>
    <xdr:to>
      <xdr:col>9</xdr:col>
      <xdr:colOff>219075</xdr:colOff>
      <xdr:row>16</xdr:row>
      <xdr:rowOff>0</xdr:rowOff>
    </xdr:to>
    <xdr:sp>
      <xdr:nvSpPr>
        <xdr:cNvPr id="2" name="Line 3"/>
        <xdr:cNvSpPr>
          <a:spLocks/>
        </xdr:cNvSpPr>
      </xdr:nvSpPr>
      <xdr:spPr>
        <a:xfrm>
          <a:off x="7162800" y="23050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152400</xdr:rowOff>
    </xdr:from>
    <xdr:to>
      <xdr:col>9</xdr:col>
      <xdr:colOff>752475</xdr:colOff>
      <xdr:row>7</xdr:row>
      <xdr:rowOff>152400</xdr:rowOff>
    </xdr:to>
    <xdr:sp>
      <xdr:nvSpPr>
        <xdr:cNvPr id="3" name="Line 8"/>
        <xdr:cNvSpPr>
          <a:spLocks/>
        </xdr:cNvSpPr>
      </xdr:nvSpPr>
      <xdr:spPr>
        <a:xfrm>
          <a:off x="8553450" y="1114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2</xdr:col>
      <xdr:colOff>171450</xdr:colOff>
      <xdr:row>4</xdr:row>
      <xdr:rowOff>133350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8667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3</xdr:col>
      <xdr:colOff>847725</xdr:colOff>
      <xdr:row>146</xdr:row>
      <xdr:rowOff>133350</xdr:rowOff>
    </xdr:from>
    <xdr:to>
      <xdr:col>3</xdr:col>
      <xdr:colOff>3362325</xdr:colOff>
      <xdr:row>146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2476500" y="269271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34</xdr:row>
      <xdr:rowOff>257175</xdr:rowOff>
    </xdr:from>
    <xdr:to>
      <xdr:col>4</xdr:col>
      <xdr:colOff>95250</xdr:colOff>
      <xdr:row>34</xdr:row>
      <xdr:rowOff>257175</xdr:rowOff>
    </xdr:to>
    <xdr:sp>
      <xdr:nvSpPr>
        <xdr:cNvPr id="1" name="Line 3"/>
        <xdr:cNvSpPr>
          <a:spLocks/>
        </xdr:cNvSpPr>
      </xdr:nvSpPr>
      <xdr:spPr>
        <a:xfrm>
          <a:off x="323850" y="59531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0</xdr:row>
      <xdr:rowOff>0</xdr:rowOff>
    </xdr:from>
    <xdr:to>
      <xdr:col>12</xdr:col>
      <xdr:colOff>485775</xdr:colOff>
      <xdr:row>5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933450" y="0"/>
          <a:ext cx="6819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ADMINISTRAÇÃO: “NOVOS CAMINHOS” – 2013-2016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35</xdr:row>
      <xdr:rowOff>0</xdr:rowOff>
    </xdr:from>
    <xdr:to>
      <xdr:col>4</xdr:col>
      <xdr:colOff>123825</xdr:colOff>
      <xdr:row>35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" y="5905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12</xdr:col>
      <xdr:colOff>209550</xdr:colOff>
      <xdr:row>4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657225" y="0"/>
          <a:ext cx="6819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ADMINISTRAÇÃO: “NOVOS CAMINHOS” – 2013-2016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34</xdr:row>
      <xdr:rowOff>257175</xdr:rowOff>
    </xdr:from>
    <xdr:to>
      <xdr:col>4</xdr:col>
      <xdr:colOff>85725</xdr:colOff>
      <xdr:row>34</xdr:row>
      <xdr:rowOff>257175</xdr:rowOff>
    </xdr:to>
    <xdr:sp>
      <xdr:nvSpPr>
        <xdr:cNvPr id="1" name="Line 3"/>
        <xdr:cNvSpPr>
          <a:spLocks/>
        </xdr:cNvSpPr>
      </xdr:nvSpPr>
      <xdr:spPr>
        <a:xfrm>
          <a:off x="314325" y="59721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12</xdr:col>
      <xdr:colOff>28575</xdr:colOff>
      <xdr:row>4</xdr:row>
      <xdr:rowOff>95250</xdr:rowOff>
    </xdr:to>
    <xdr:sp>
      <xdr:nvSpPr>
        <xdr:cNvPr id="2" name="Rectangle 4"/>
        <xdr:cNvSpPr>
          <a:spLocks/>
        </xdr:cNvSpPr>
      </xdr:nvSpPr>
      <xdr:spPr>
        <a:xfrm>
          <a:off x="476250" y="0"/>
          <a:ext cx="6819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ADMINISTRAÇÃO: “NOVOS CAMINHOS” – 2013-2016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24</xdr:row>
      <xdr:rowOff>133350</xdr:rowOff>
    </xdr:from>
    <xdr:to>
      <xdr:col>2</xdr:col>
      <xdr:colOff>2314575</xdr:colOff>
      <xdr:row>24</xdr:row>
      <xdr:rowOff>133350</xdr:rowOff>
    </xdr:to>
    <xdr:sp>
      <xdr:nvSpPr>
        <xdr:cNvPr id="1" name="Line 2"/>
        <xdr:cNvSpPr>
          <a:spLocks/>
        </xdr:cNvSpPr>
      </xdr:nvSpPr>
      <xdr:spPr>
        <a:xfrm>
          <a:off x="1076325" y="50768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24</xdr:row>
      <xdr:rowOff>133350</xdr:rowOff>
    </xdr:from>
    <xdr:to>
      <xdr:col>8</xdr:col>
      <xdr:colOff>123825</xdr:colOff>
      <xdr:row>24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057775" y="50768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858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1866900</xdr:colOff>
      <xdr:row>377</xdr:row>
      <xdr:rowOff>142875</xdr:rowOff>
    </xdr:from>
    <xdr:to>
      <xdr:col>3</xdr:col>
      <xdr:colOff>438150</xdr:colOff>
      <xdr:row>377</xdr:row>
      <xdr:rowOff>142875</xdr:rowOff>
    </xdr:to>
    <xdr:sp>
      <xdr:nvSpPr>
        <xdr:cNvPr id="2" name="Line 4"/>
        <xdr:cNvSpPr>
          <a:spLocks/>
        </xdr:cNvSpPr>
      </xdr:nvSpPr>
      <xdr:spPr>
        <a:xfrm>
          <a:off x="2600325" y="600837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0</xdr:rowOff>
    </xdr:from>
    <xdr:to>
      <xdr:col>9</xdr:col>
      <xdr:colOff>95250</xdr:colOff>
      <xdr:row>4</xdr:row>
      <xdr:rowOff>95250</xdr:rowOff>
    </xdr:to>
    <xdr:sp>
      <xdr:nvSpPr>
        <xdr:cNvPr id="3" name="Rectangle 10"/>
        <xdr:cNvSpPr>
          <a:spLocks/>
        </xdr:cNvSpPr>
      </xdr:nvSpPr>
      <xdr:spPr>
        <a:xfrm>
          <a:off x="381000" y="0"/>
          <a:ext cx="6819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Prefeitura Municipal de Janaúba</a:t>
          </a:r>
          <a:r>
            <a:rPr lang="en-US" cap="none" sz="2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ESTADO DE MINAS GERAIS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ADMINISTRAÇÃO: “NOVOS CAMINHOS” – 2013-2016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LANOS%20DE%20TRABALHOS\SISTEM&#193;TICA%202010\CENTRO%20DE%20EVENTOS%20%20CAIC\PROJETO%20CENTRO%20DE%20EVENTOS%20ABRIL%202010%20vers&#227;o%20final\CD%20LICITA&#199;&#195;O%20JUN%202011\PLANILHAS%20CENTRO%20EVENTOS%20%20Final%20-%20%20MAI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 GERAL"/>
      <sheetName val="CRONOGRAMA REPASSE"/>
      <sheetName val="CRONOGRAMA CONTRAPARTIDA"/>
      <sheetName val="QCI"/>
      <sheetName val="MEMÓRIA CÁLCULO"/>
    </sheetNames>
    <sheetDataSet>
      <sheetData sheetId="5">
        <row r="10">
          <cell r="J10">
            <v>461.21</v>
          </cell>
        </row>
        <row r="12">
          <cell r="J12">
            <v>538</v>
          </cell>
        </row>
        <row r="14">
          <cell r="J14">
            <v>80.53920000000001</v>
          </cell>
        </row>
        <row r="27">
          <cell r="J27">
            <v>28.227800000000002</v>
          </cell>
        </row>
        <row r="44">
          <cell r="J44">
            <v>25.26</v>
          </cell>
        </row>
        <row r="56">
          <cell r="J56">
            <v>89.3163</v>
          </cell>
        </row>
        <row r="63">
          <cell r="J63">
            <v>63.010000000000005</v>
          </cell>
        </row>
        <row r="67">
          <cell r="J67">
            <v>850</v>
          </cell>
        </row>
        <row r="71">
          <cell r="J71">
            <v>2328</v>
          </cell>
        </row>
        <row r="77">
          <cell r="J77">
            <v>445.64</v>
          </cell>
        </row>
        <row r="86">
          <cell r="J86">
            <v>156.8</v>
          </cell>
        </row>
        <row r="107">
          <cell r="J107">
            <v>1242.4496000000001</v>
          </cell>
        </row>
        <row r="109">
          <cell r="J109">
            <v>1242.4496000000001</v>
          </cell>
        </row>
        <row r="112">
          <cell r="J112">
            <v>1045.38</v>
          </cell>
        </row>
        <row r="113">
          <cell r="J113">
            <v>156.8</v>
          </cell>
        </row>
        <row r="114">
          <cell r="J114">
            <v>40.269600000000004</v>
          </cell>
        </row>
        <row r="121">
          <cell r="H121">
            <v>4.0489999999999995</v>
          </cell>
        </row>
        <row r="133">
          <cell r="H133">
            <v>88.05999999999999</v>
          </cell>
        </row>
        <row r="147">
          <cell r="J147">
            <v>30.62</v>
          </cell>
        </row>
        <row r="159">
          <cell r="J159">
            <v>390.2500000000001</v>
          </cell>
        </row>
        <row r="163">
          <cell r="J163">
            <v>36.8</v>
          </cell>
        </row>
        <row r="164">
          <cell r="J164">
            <v>15.37</v>
          </cell>
        </row>
        <row r="165">
          <cell r="J165">
            <v>207.56</v>
          </cell>
        </row>
        <row r="172">
          <cell r="J172">
            <v>43.29</v>
          </cell>
        </row>
        <row r="173">
          <cell r="J173">
            <v>37.870000000000005</v>
          </cell>
        </row>
        <row r="175">
          <cell r="J175">
            <v>49.36</v>
          </cell>
        </row>
        <row r="177">
          <cell r="J177">
            <v>172.1</v>
          </cell>
        </row>
        <row r="181">
          <cell r="J181">
            <v>338.444</v>
          </cell>
        </row>
        <row r="190">
          <cell r="F190">
            <v>32.48</v>
          </cell>
        </row>
        <row r="192">
          <cell r="J192">
            <v>4</v>
          </cell>
        </row>
        <row r="193">
          <cell r="J193">
            <v>2</v>
          </cell>
        </row>
        <row r="201">
          <cell r="E201">
            <v>51.54</v>
          </cell>
        </row>
        <row r="204">
          <cell r="J204">
            <v>8</v>
          </cell>
        </row>
        <row r="205">
          <cell r="J205">
            <v>1</v>
          </cell>
        </row>
        <row r="206">
          <cell r="J206">
            <v>8</v>
          </cell>
        </row>
        <row r="207">
          <cell r="J207">
            <v>1</v>
          </cell>
        </row>
        <row r="208">
          <cell r="J208">
            <v>2</v>
          </cell>
        </row>
        <row r="210">
          <cell r="J210">
            <v>2</v>
          </cell>
        </row>
        <row r="217">
          <cell r="J217">
            <v>49.896</v>
          </cell>
        </row>
        <row r="218">
          <cell r="J218">
            <v>8</v>
          </cell>
        </row>
        <row r="221">
          <cell r="J221">
            <v>37.43</v>
          </cell>
        </row>
        <row r="222">
          <cell r="J222">
            <v>14.6</v>
          </cell>
        </row>
        <row r="223">
          <cell r="J223">
            <v>17.85</v>
          </cell>
        </row>
        <row r="224">
          <cell r="J224">
            <v>2</v>
          </cell>
        </row>
        <row r="225">
          <cell r="J225">
            <v>2</v>
          </cell>
        </row>
        <row r="226">
          <cell r="J226">
            <v>4</v>
          </cell>
        </row>
        <row r="227">
          <cell r="J227">
            <v>11</v>
          </cell>
        </row>
        <row r="228">
          <cell r="J228">
            <v>1</v>
          </cell>
        </row>
        <row r="230">
          <cell r="J230">
            <v>3</v>
          </cell>
        </row>
        <row r="231">
          <cell r="J231">
            <v>6</v>
          </cell>
        </row>
        <row r="232">
          <cell r="J232">
            <v>30</v>
          </cell>
        </row>
        <row r="233">
          <cell r="J233">
            <v>3</v>
          </cell>
        </row>
        <row r="234">
          <cell r="J234">
            <v>5</v>
          </cell>
        </row>
        <row r="235">
          <cell r="J235">
            <v>4</v>
          </cell>
        </row>
        <row r="238">
          <cell r="J238">
            <v>99.7</v>
          </cell>
        </row>
        <row r="239">
          <cell r="J239">
            <v>78.25</v>
          </cell>
        </row>
        <row r="240">
          <cell r="J240">
            <v>6</v>
          </cell>
        </row>
        <row r="241">
          <cell r="J241">
            <v>13</v>
          </cell>
        </row>
        <row r="242">
          <cell r="J242">
            <v>5</v>
          </cell>
        </row>
        <row r="244">
          <cell r="J244">
            <v>22</v>
          </cell>
        </row>
        <row r="245">
          <cell r="J245">
            <v>23</v>
          </cell>
        </row>
        <row r="246">
          <cell r="J246">
            <v>8</v>
          </cell>
        </row>
        <row r="247">
          <cell r="J247">
            <v>2</v>
          </cell>
        </row>
        <row r="248">
          <cell r="J248">
            <v>1</v>
          </cell>
        </row>
        <row r="249">
          <cell r="J249">
            <v>4</v>
          </cell>
        </row>
        <row r="250">
          <cell r="J250">
            <v>1</v>
          </cell>
        </row>
        <row r="251">
          <cell r="J251">
            <v>3</v>
          </cell>
        </row>
        <row r="252">
          <cell r="J252">
            <v>1</v>
          </cell>
        </row>
        <row r="259">
          <cell r="J259">
            <v>56.019999999999996</v>
          </cell>
        </row>
        <row r="264">
          <cell r="J264">
            <v>6.266000000000001</v>
          </cell>
        </row>
        <row r="273">
          <cell r="E273">
            <v>5.77</v>
          </cell>
        </row>
        <row r="278">
          <cell r="E278">
            <v>2.2</v>
          </cell>
        </row>
        <row r="283">
          <cell r="E283">
            <v>11.24</v>
          </cell>
        </row>
        <row r="288">
          <cell r="E288">
            <v>13.5</v>
          </cell>
        </row>
        <row r="290">
          <cell r="J290">
            <v>187.9</v>
          </cell>
        </row>
        <row r="308">
          <cell r="J308">
            <v>8.64</v>
          </cell>
        </row>
        <row r="312">
          <cell r="J312">
            <v>137.88</v>
          </cell>
        </row>
        <row r="322">
          <cell r="J322">
            <v>166.6</v>
          </cell>
        </row>
        <row r="330">
          <cell r="J330">
            <v>27.450000000000003</v>
          </cell>
        </row>
        <row r="340">
          <cell r="J340">
            <v>37.999</v>
          </cell>
        </row>
        <row r="344">
          <cell r="J344">
            <v>20.313000000000002</v>
          </cell>
        </row>
        <row r="347">
          <cell r="J347">
            <v>110</v>
          </cell>
        </row>
        <row r="348">
          <cell r="J348">
            <v>32.2</v>
          </cell>
        </row>
        <row r="349">
          <cell r="J349">
            <v>10.2</v>
          </cell>
        </row>
        <row r="350">
          <cell r="J350">
            <v>20.1</v>
          </cell>
        </row>
        <row r="366">
          <cell r="J366">
            <v>2</v>
          </cell>
        </row>
        <row r="368">
          <cell r="J368">
            <v>330</v>
          </cell>
        </row>
        <row r="369">
          <cell r="J369">
            <v>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6:AJ183"/>
  <sheetViews>
    <sheetView zoomScale="90" zoomScaleNormal="90" zoomScalePageLayoutView="0" workbookViewId="0" topLeftCell="A52">
      <selection activeCell="D169" sqref="D169"/>
    </sheetView>
  </sheetViews>
  <sheetFormatPr defaultColWidth="9.140625" defaultRowHeight="12.75"/>
  <cols>
    <col min="1" max="1" width="5.28125" style="0" customWidth="1"/>
    <col min="2" max="2" width="8.140625" style="0" customWidth="1"/>
    <col min="3" max="3" width="11.00390625" style="0" customWidth="1"/>
    <col min="4" max="4" width="72.57421875" style="0" customWidth="1"/>
    <col min="5" max="5" width="7.28125" style="1" customWidth="1"/>
    <col min="6" max="6" width="9.28125" style="335" customWidth="1"/>
    <col min="7" max="7" width="9.8515625" style="335" customWidth="1"/>
    <col min="8" max="8" width="9.7109375" style="335" customWidth="1"/>
    <col min="9" max="9" width="9.57421875" style="335" customWidth="1"/>
    <col min="10" max="10" width="12.8515625" style="335" customWidth="1"/>
    <col min="11" max="12" width="9.7109375" style="335" customWidth="1"/>
    <col min="13" max="13" width="10.7109375" style="335" customWidth="1"/>
    <col min="14" max="14" width="9.28125" style="335" customWidth="1"/>
    <col min="15" max="16" width="12.8515625" style="335" customWidth="1"/>
    <col min="17" max="17" width="7.00390625" style="335" bestFit="1" customWidth="1"/>
    <col min="18" max="20" width="12.8515625" style="335" customWidth="1"/>
    <col min="21" max="21" width="9.57421875" style="0" customWidth="1"/>
    <col min="22" max="22" width="11.00390625" style="0" customWidth="1"/>
    <col min="23" max="23" width="10.57421875" style="0" customWidth="1"/>
    <col min="24" max="24" width="11.8515625" style="0" customWidth="1"/>
    <col min="25" max="25" width="6.421875" style="0" customWidth="1"/>
    <col min="26" max="26" width="7.421875" style="0" customWidth="1"/>
    <col min="27" max="31" width="9.140625" style="0" hidden="1" customWidth="1"/>
    <col min="33" max="33" width="6.7109375" style="0" customWidth="1"/>
  </cols>
  <sheetData>
    <row r="5" ht="12" customHeight="1"/>
    <row r="6" spans="1:20" ht="6.75" customHeight="1">
      <c r="A6" s="448" t="s">
        <v>459</v>
      </c>
      <c r="B6" s="449"/>
      <c r="C6" s="450"/>
      <c r="D6" s="457" t="s">
        <v>460</v>
      </c>
      <c r="E6" s="457" t="s">
        <v>461</v>
      </c>
      <c r="F6" s="457"/>
      <c r="G6" s="457"/>
      <c r="H6" s="430" t="s">
        <v>330</v>
      </c>
      <c r="I6" s="430"/>
      <c r="J6" s="469">
        <f>IF(J7=TRUE,0,((((1+G11)*(1+G10)*(1+G9+G8)*(1+G12))/(1-G13))-1))</f>
        <v>0.2404363227805144</v>
      </c>
      <c r="K6" s="160"/>
      <c r="L6" s="224"/>
      <c r="M6" s="224"/>
      <c r="N6" s="225"/>
      <c r="O6" s="156"/>
      <c r="P6" s="156"/>
      <c r="Q6" s="156"/>
      <c r="R6" s="156"/>
      <c r="S6" s="156"/>
      <c r="T6" s="156"/>
    </row>
    <row r="7" spans="1:20" ht="6" customHeight="1">
      <c r="A7" s="451"/>
      <c r="B7" s="452"/>
      <c r="C7" s="453"/>
      <c r="D7" s="458"/>
      <c r="E7" s="458"/>
      <c r="F7" s="458"/>
      <c r="G7" s="458"/>
      <c r="H7" s="471"/>
      <c r="I7" s="471"/>
      <c r="J7" s="470"/>
      <c r="K7" s="242"/>
      <c r="L7" s="243"/>
      <c r="M7" s="243"/>
      <c r="N7" s="244"/>
      <c r="O7" s="156"/>
      <c r="P7" s="156"/>
      <c r="Q7" s="156"/>
      <c r="R7" s="156"/>
      <c r="S7" s="156"/>
      <c r="T7" s="156"/>
    </row>
    <row r="8" spans="1:20" ht="12.75" customHeight="1">
      <c r="A8" s="454" t="s">
        <v>331</v>
      </c>
      <c r="B8" s="455"/>
      <c r="C8" s="456"/>
      <c r="D8" s="217" t="s">
        <v>462</v>
      </c>
      <c r="E8" s="459" t="s">
        <v>463</v>
      </c>
      <c r="F8" s="460"/>
      <c r="G8" s="218">
        <v>0.0042</v>
      </c>
      <c r="H8" s="472" t="s">
        <v>464</v>
      </c>
      <c r="I8" s="473"/>
      <c r="J8" s="473"/>
      <c r="K8" s="162"/>
      <c r="L8" s="163"/>
      <c r="M8" s="163"/>
      <c r="N8" s="240"/>
      <c r="O8" s="157"/>
      <c r="P8" s="157"/>
      <c r="Q8" s="157"/>
      <c r="R8" s="157"/>
      <c r="S8" s="157"/>
      <c r="T8" s="157"/>
    </row>
    <row r="9" spans="1:20" ht="12.75" customHeight="1">
      <c r="A9" s="454" t="s">
        <v>332</v>
      </c>
      <c r="B9" s="455"/>
      <c r="C9" s="456"/>
      <c r="D9" s="217" t="s">
        <v>465</v>
      </c>
      <c r="E9" s="459" t="s">
        <v>466</v>
      </c>
      <c r="F9" s="460"/>
      <c r="G9" s="219">
        <v>0.01</v>
      </c>
      <c r="H9" s="474"/>
      <c r="I9" s="475"/>
      <c r="J9" s="475"/>
      <c r="K9" s="164"/>
      <c r="L9" s="157"/>
      <c r="M9" s="157"/>
      <c r="N9" s="226"/>
      <c r="O9" s="157"/>
      <c r="P9" s="157"/>
      <c r="Q9" s="157"/>
      <c r="R9" s="157"/>
      <c r="S9" s="157"/>
      <c r="T9" s="157"/>
    </row>
    <row r="10" spans="1:20" ht="12.75" customHeight="1">
      <c r="A10" s="454" t="s">
        <v>333</v>
      </c>
      <c r="B10" s="455"/>
      <c r="C10" s="456"/>
      <c r="D10" s="217" t="s">
        <v>467</v>
      </c>
      <c r="E10" s="459" t="s">
        <v>516</v>
      </c>
      <c r="F10" s="460"/>
      <c r="G10" s="219">
        <v>0.012</v>
      </c>
      <c r="H10" s="474"/>
      <c r="I10" s="475"/>
      <c r="J10" s="475"/>
      <c r="K10" s="164"/>
      <c r="L10" s="157"/>
      <c r="M10" s="157"/>
      <c r="N10" s="226"/>
      <c r="O10" s="157"/>
      <c r="P10" s="157"/>
      <c r="Q10" s="157"/>
      <c r="R10" s="157"/>
      <c r="S10" s="157"/>
      <c r="T10" s="157"/>
    </row>
    <row r="11" spans="1:20" ht="12.75" customHeight="1">
      <c r="A11" s="454" t="s">
        <v>334</v>
      </c>
      <c r="B11" s="455"/>
      <c r="C11" s="456"/>
      <c r="D11" s="217" t="s">
        <v>468</v>
      </c>
      <c r="E11" s="459" t="s">
        <v>515</v>
      </c>
      <c r="F11" s="460"/>
      <c r="G11" s="219">
        <v>0.027</v>
      </c>
      <c r="H11" s="474"/>
      <c r="I11" s="475"/>
      <c r="J11" s="475"/>
      <c r="K11" s="164"/>
      <c r="L11" s="157"/>
      <c r="M11" s="157"/>
      <c r="N11" s="226"/>
      <c r="O11" s="157"/>
      <c r="P11" s="157"/>
      <c r="Q11" s="157"/>
      <c r="R11" s="157"/>
      <c r="S11" s="157"/>
      <c r="T11" s="157"/>
    </row>
    <row r="12" spans="1:20" ht="12.75" customHeight="1">
      <c r="A12" s="454" t="s">
        <v>335</v>
      </c>
      <c r="B12" s="455"/>
      <c r="C12" s="456"/>
      <c r="D12" s="217" t="s">
        <v>469</v>
      </c>
      <c r="E12" s="459" t="s">
        <v>470</v>
      </c>
      <c r="F12" s="460"/>
      <c r="G12" s="219">
        <v>0.075</v>
      </c>
      <c r="H12" s="474"/>
      <c r="I12" s="475"/>
      <c r="J12" s="475"/>
      <c r="K12" s="164"/>
      <c r="L12" s="157"/>
      <c r="M12" s="157"/>
      <c r="N12" s="226"/>
      <c r="O12" s="157"/>
      <c r="P12" s="157"/>
      <c r="Q12" s="157"/>
      <c r="R12" s="157"/>
      <c r="S12" s="157"/>
      <c r="T12" s="157"/>
    </row>
    <row r="13" spans="1:20" ht="12.75" customHeight="1">
      <c r="A13" s="478" t="s">
        <v>336</v>
      </c>
      <c r="B13" s="479"/>
      <c r="C13" s="480"/>
      <c r="D13" s="220" t="s">
        <v>471</v>
      </c>
      <c r="E13" s="481" t="s">
        <v>472</v>
      </c>
      <c r="F13" s="482"/>
      <c r="G13" s="221">
        <v>0.0865</v>
      </c>
      <c r="H13" s="476"/>
      <c r="I13" s="477"/>
      <c r="J13" s="477"/>
      <c r="K13" s="222"/>
      <c r="L13" s="223"/>
      <c r="M13" s="223"/>
      <c r="N13" s="241"/>
      <c r="O13" s="157"/>
      <c r="P13" s="157"/>
      <c r="Q13" s="157"/>
      <c r="R13" s="157"/>
      <c r="S13" s="157"/>
      <c r="T13" s="157"/>
    </row>
    <row r="14" spans="1:20" ht="3" customHeight="1">
      <c r="A14" s="463"/>
      <c r="B14" s="463"/>
      <c r="C14" s="463"/>
      <c r="D14" s="463"/>
      <c r="E14" s="463"/>
      <c r="F14" s="463"/>
      <c r="G14" s="463"/>
      <c r="H14" s="463"/>
      <c r="I14" s="463"/>
      <c r="J14" s="463"/>
      <c r="K14" s="245"/>
      <c r="L14" s="246"/>
      <c r="M14" s="246"/>
      <c r="N14" s="247"/>
      <c r="O14" s="158"/>
      <c r="P14" s="158"/>
      <c r="Q14" s="158"/>
      <c r="R14" s="158"/>
      <c r="S14" s="158"/>
      <c r="T14" s="158"/>
    </row>
    <row r="15" spans="1:23" ht="12" customHeight="1">
      <c r="A15" s="178"/>
      <c r="B15" s="179"/>
      <c r="C15" s="179"/>
      <c r="D15" s="180" t="s">
        <v>368</v>
      </c>
      <c r="E15" s="181"/>
      <c r="F15" s="336"/>
      <c r="G15" s="336"/>
      <c r="H15" s="183" t="s">
        <v>371</v>
      </c>
      <c r="I15" s="466" t="s">
        <v>690</v>
      </c>
      <c r="J15" s="466"/>
      <c r="K15" s="248"/>
      <c r="L15" s="159"/>
      <c r="M15" s="159"/>
      <c r="N15" s="227"/>
      <c r="O15" s="159"/>
      <c r="P15" s="159"/>
      <c r="Q15" s="159"/>
      <c r="R15" s="159"/>
      <c r="S15" s="159"/>
      <c r="T15" s="159"/>
      <c r="W15" s="13">
        <f>W19+W20</f>
        <v>307500</v>
      </c>
    </row>
    <row r="16" spans="1:36" s="3" customFormat="1" ht="14.25" customHeight="1">
      <c r="A16" s="184" t="s">
        <v>268</v>
      </c>
      <c r="B16" s="467" t="s">
        <v>514</v>
      </c>
      <c r="C16" s="467"/>
      <c r="D16" s="468"/>
      <c r="E16" s="185" t="s">
        <v>369</v>
      </c>
      <c r="F16" s="186"/>
      <c r="G16" s="186"/>
      <c r="H16" s="186"/>
      <c r="I16" s="186"/>
      <c r="J16" s="229"/>
      <c r="K16" s="249"/>
      <c r="L16" s="165"/>
      <c r="M16" s="165"/>
      <c r="N16" s="228"/>
      <c r="O16" s="165"/>
      <c r="P16" s="165"/>
      <c r="Q16" s="165"/>
      <c r="R16" s="165"/>
      <c r="S16" s="165"/>
      <c r="T16" s="165"/>
      <c r="U16" s="76"/>
      <c r="V16" s="77"/>
      <c r="W16" s="78"/>
      <c r="X16" s="16"/>
      <c r="Y16" s="16"/>
      <c r="Z16" s="16"/>
      <c r="AA16" s="16"/>
      <c r="AB16" s="16"/>
      <c r="AC16" s="16"/>
      <c r="AD16" s="16"/>
      <c r="AE16" s="16"/>
      <c r="AF16" s="17"/>
      <c r="AG16" s="18"/>
      <c r="AH16" s="19"/>
      <c r="AI16" s="18"/>
      <c r="AJ16" s="20"/>
    </row>
    <row r="17" spans="1:36" s="3" customFormat="1" ht="15.75" customHeight="1">
      <c r="A17" s="187" t="s">
        <v>367</v>
      </c>
      <c r="B17" s="188"/>
      <c r="C17" s="188" t="s">
        <v>225</v>
      </c>
      <c r="D17" s="189"/>
      <c r="E17" s="439" t="s">
        <v>370</v>
      </c>
      <c r="F17" s="440"/>
      <c r="G17" s="440"/>
      <c r="H17" s="440"/>
      <c r="I17" s="440"/>
      <c r="J17" s="440"/>
      <c r="K17" s="190"/>
      <c r="L17" s="166"/>
      <c r="M17" s="166"/>
      <c r="N17" s="153"/>
      <c r="O17" s="166"/>
      <c r="P17" s="166"/>
      <c r="Q17" s="166"/>
      <c r="R17" s="166"/>
      <c r="S17" s="166"/>
      <c r="T17" s="166"/>
      <c r="X17" s="16"/>
      <c r="Y17" s="16"/>
      <c r="Z17" s="16"/>
      <c r="AA17" s="16"/>
      <c r="AB17" s="16"/>
      <c r="AC17" s="16"/>
      <c r="AD17" s="16"/>
      <c r="AE17" s="16"/>
      <c r="AF17" s="17"/>
      <c r="AG17" s="18"/>
      <c r="AH17" s="19"/>
      <c r="AI17" s="18"/>
      <c r="AJ17" s="20"/>
    </row>
    <row r="18" spans="1:36" s="3" customFormat="1" ht="12.75" customHeight="1">
      <c r="A18" s="191"/>
      <c r="B18" s="192"/>
      <c r="C18" s="192" t="s">
        <v>386</v>
      </c>
      <c r="D18" s="192"/>
      <c r="E18" s="439" t="s">
        <v>453</v>
      </c>
      <c r="F18" s="440"/>
      <c r="G18" s="440"/>
      <c r="H18" s="440"/>
      <c r="I18" s="440"/>
      <c r="J18" s="440"/>
      <c r="K18" s="215"/>
      <c r="L18" s="216"/>
      <c r="M18" s="216"/>
      <c r="N18" s="155"/>
      <c r="O18" s="166"/>
      <c r="P18" s="166"/>
      <c r="Q18" s="166"/>
      <c r="R18" s="166"/>
      <c r="S18" s="166"/>
      <c r="T18" s="166"/>
      <c r="W18" s="116">
        <f>W19+W20</f>
        <v>307500</v>
      </c>
      <c r="X18" s="16"/>
      <c r="Y18" s="16"/>
      <c r="Z18" s="16"/>
      <c r="AA18" s="16"/>
      <c r="AB18" s="16"/>
      <c r="AC18" s="16"/>
      <c r="AD18" s="16"/>
      <c r="AE18" s="16"/>
      <c r="AF18" s="17"/>
      <c r="AG18" s="18"/>
      <c r="AH18" s="19"/>
      <c r="AI18" s="18"/>
      <c r="AJ18" s="20"/>
    </row>
    <row r="19" spans="1:36" ht="13.5" customHeight="1">
      <c r="A19" s="193"/>
      <c r="B19" s="194"/>
      <c r="C19" s="194"/>
      <c r="D19" s="195"/>
      <c r="E19" s="444" t="s">
        <v>341</v>
      </c>
      <c r="F19" s="445"/>
      <c r="G19" s="446" t="s">
        <v>224</v>
      </c>
      <c r="H19" s="447"/>
      <c r="I19" s="196" t="s">
        <v>289</v>
      </c>
      <c r="J19" s="230">
        <f>J6</f>
        <v>0.2404363227805144</v>
      </c>
      <c r="K19" s="429" t="s">
        <v>686</v>
      </c>
      <c r="L19" s="429"/>
      <c r="M19" s="429"/>
      <c r="N19" s="234"/>
      <c r="O19" s="167"/>
      <c r="P19" s="167"/>
      <c r="Q19" s="167"/>
      <c r="R19" s="167"/>
      <c r="S19" s="167"/>
      <c r="T19" s="167"/>
      <c r="W19" s="8">
        <v>292500</v>
      </c>
      <c r="X19" s="80" t="s">
        <v>264</v>
      </c>
      <c r="Y19" s="97">
        <f>W19/W18</f>
        <v>0.9512195121951219</v>
      </c>
      <c r="Z19" s="16"/>
      <c r="AA19" s="16"/>
      <c r="AB19" s="16"/>
      <c r="AC19" s="16"/>
      <c r="AD19" s="16"/>
      <c r="AE19" s="16"/>
      <c r="AF19" s="17"/>
      <c r="AG19" s="18"/>
      <c r="AH19" s="19"/>
      <c r="AI19" s="18"/>
      <c r="AJ19" s="20"/>
    </row>
    <row r="20" spans="1:25" ht="15.75" customHeight="1">
      <c r="A20" s="441" t="s">
        <v>269</v>
      </c>
      <c r="B20" s="441" t="s">
        <v>297</v>
      </c>
      <c r="C20" s="441" t="s">
        <v>296</v>
      </c>
      <c r="D20" s="441" t="s">
        <v>270</v>
      </c>
      <c r="E20" s="441" t="s">
        <v>271</v>
      </c>
      <c r="F20" s="443" t="s">
        <v>272</v>
      </c>
      <c r="G20" s="443" t="s">
        <v>328</v>
      </c>
      <c r="H20" s="443"/>
      <c r="I20" s="443" t="s">
        <v>329</v>
      </c>
      <c r="J20" s="464"/>
      <c r="K20" s="430" t="s">
        <v>272</v>
      </c>
      <c r="L20" s="430" t="s">
        <v>298</v>
      </c>
      <c r="M20" s="430" t="s">
        <v>273</v>
      </c>
      <c r="N20" s="428" t="s">
        <v>689</v>
      </c>
      <c r="O20" s="159"/>
      <c r="P20" s="159"/>
      <c r="Q20" s="159"/>
      <c r="R20" s="159"/>
      <c r="S20" s="159"/>
      <c r="T20" s="159"/>
      <c r="W20" s="8">
        <v>15000</v>
      </c>
      <c r="X20" s="67" t="s">
        <v>363</v>
      </c>
      <c r="Y20" s="117">
        <f>W20/W18</f>
        <v>0.04878048780487805</v>
      </c>
    </row>
    <row r="21" spans="1:20" s="3" customFormat="1" ht="14.25" customHeight="1">
      <c r="A21" s="442"/>
      <c r="B21" s="442"/>
      <c r="C21" s="442"/>
      <c r="D21" s="442"/>
      <c r="E21" s="442"/>
      <c r="F21" s="465"/>
      <c r="G21" s="197" t="s">
        <v>298</v>
      </c>
      <c r="H21" s="197" t="s">
        <v>273</v>
      </c>
      <c r="I21" s="197" t="s">
        <v>298</v>
      </c>
      <c r="J21" s="231" t="s">
        <v>273</v>
      </c>
      <c r="K21" s="431"/>
      <c r="L21" s="431"/>
      <c r="M21" s="431"/>
      <c r="N21" s="428"/>
      <c r="O21" s="159"/>
      <c r="P21" s="159"/>
      <c r="Q21" s="159"/>
      <c r="R21" s="159"/>
      <c r="S21" s="159"/>
      <c r="T21" s="159"/>
    </row>
    <row r="22" spans="1:25" ht="13.5" customHeight="1">
      <c r="A22" s="198" t="s">
        <v>274</v>
      </c>
      <c r="B22" s="198"/>
      <c r="C22" s="198"/>
      <c r="D22" s="199" t="s">
        <v>275</v>
      </c>
      <c r="E22" s="200"/>
      <c r="F22" s="201"/>
      <c r="G22" s="201"/>
      <c r="H22" s="201"/>
      <c r="I22" s="201"/>
      <c r="J22" s="232">
        <f>SUM(J23:J25)</f>
        <v>2797.254116565929</v>
      </c>
      <c r="K22" s="332"/>
      <c r="L22" s="334"/>
      <c r="M22" s="333"/>
      <c r="N22" s="235"/>
      <c r="O22" s="168"/>
      <c r="P22" s="168" t="s">
        <v>684</v>
      </c>
      <c r="Q22" s="177" t="s">
        <v>688</v>
      </c>
      <c r="R22" s="214" t="s">
        <v>685</v>
      </c>
      <c r="S22" s="168"/>
      <c r="T22" s="168"/>
      <c r="U22" s="124">
        <f>J22</f>
        <v>2797.254116565929</v>
      </c>
      <c r="V22" s="37">
        <v>292500</v>
      </c>
      <c r="W22" s="147">
        <f>V22/V24</f>
        <v>0.9092069205376858</v>
      </c>
      <c r="X22" s="38" t="s">
        <v>384</v>
      </c>
      <c r="Y22" s="36"/>
    </row>
    <row r="23" spans="1:25" ht="12.75">
      <c r="A23" s="250" t="s">
        <v>283</v>
      </c>
      <c r="B23" s="250" t="s">
        <v>295</v>
      </c>
      <c r="C23" s="251" t="s">
        <v>291</v>
      </c>
      <c r="D23" s="252" t="s">
        <v>383</v>
      </c>
      <c r="E23" s="250" t="s">
        <v>276</v>
      </c>
      <c r="F23" s="253">
        <f>'[1]MEMÓRIA CÁLCULO'!J10</f>
        <v>461.21</v>
      </c>
      <c r="G23" s="253">
        <v>0.43</v>
      </c>
      <c r="H23" s="253">
        <f>F23*G23</f>
        <v>198.32029999999997</v>
      </c>
      <c r="I23" s="254">
        <f>(G23*J19)+G23</f>
        <v>0.5333876187956212</v>
      </c>
      <c r="J23" s="255">
        <f>F23*I23</f>
        <v>246.00370366472848</v>
      </c>
      <c r="K23" s="433" t="s">
        <v>687</v>
      </c>
      <c r="L23" s="433"/>
      <c r="M23" s="433"/>
      <c r="N23" s="327"/>
      <c r="O23" s="169"/>
      <c r="P23" s="174">
        <v>461.21</v>
      </c>
      <c r="Q23" s="169">
        <v>461.21</v>
      </c>
      <c r="R23" s="169">
        <f aca="true" t="shared" si="0" ref="R23:R54">P23-Q23</f>
        <v>0</v>
      </c>
      <c r="S23" s="169">
        <f aca="true" t="shared" si="1" ref="S23:S54">R23*I23</f>
        <v>0</v>
      </c>
      <c r="T23" s="169"/>
      <c r="U23" s="124"/>
      <c r="V23" s="37">
        <f>V24-V22</f>
        <v>29208.945887721202</v>
      </c>
      <c r="W23" s="147">
        <f>V23/V24</f>
        <v>0.09079307946231417</v>
      </c>
      <c r="X23" s="118" t="s">
        <v>55</v>
      </c>
      <c r="Y23" s="36"/>
    </row>
    <row r="24" spans="1:25" ht="12.75">
      <c r="A24" s="256" t="s">
        <v>381</v>
      </c>
      <c r="B24" s="256" t="s">
        <v>295</v>
      </c>
      <c r="C24" s="257" t="s">
        <v>397</v>
      </c>
      <c r="D24" s="258" t="s">
        <v>41</v>
      </c>
      <c r="E24" s="256" t="s">
        <v>276</v>
      </c>
      <c r="F24" s="259">
        <f>F23</f>
        <v>461.21</v>
      </c>
      <c r="G24" s="260">
        <v>2.53</v>
      </c>
      <c r="H24" s="259">
        <f>F24*G24</f>
        <v>1166.8612999999998</v>
      </c>
      <c r="I24" s="261">
        <f>(G24*J19)+G24</f>
        <v>3.138303896634701</v>
      </c>
      <c r="J24" s="262">
        <f>F24*I24</f>
        <v>1447.4171401668905</v>
      </c>
      <c r="K24" s="432" t="s">
        <v>687</v>
      </c>
      <c r="L24" s="432"/>
      <c r="M24" s="432"/>
      <c r="N24" s="328"/>
      <c r="O24" s="169"/>
      <c r="P24" s="169">
        <v>461.21</v>
      </c>
      <c r="Q24" s="169">
        <v>461.21</v>
      </c>
      <c r="R24" s="169">
        <f t="shared" si="0"/>
        <v>0</v>
      </c>
      <c r="S24" s="169">
        <f t="shared" si="1"/>
        <v>0</v>
      </c>
      <c r="T24" s="169"/>
      <c r="U24" s="124"/>
      <c r="V24" s="37">
        <f>J157</f>
        <v>321708.9458877212</v>
      </c>
      <c r="W24" s="147">
        <f>W22+W23</f>
        <v>1</v>
      </c>
      <c r="X24" s="118" t="s">
        <v>54</v>
      </c>
      <c r="Y24" s="36"/>
    </row>
    <row r="25" spans="1:24" ht="12.75">
      <c r="A25" s="263" t="s">
        <v>159</v>
      </c>
      <c r="B25" s="263" t="s">
        <v>295</v>
      </c>
      <c r="C25" s="264" t="s">
        <v>293</v>
      </c>
      <c r="D25" s="265" t="s">
        <v>292</v>
      </c>
      <c r="E25" s="263" t="s">
        <v>276</v>
      </c>
      <c r="F25" s="266">
        <v>4.5</v>
      </c>
      <c r="G25" s="267">
        <v>197.75</v>
      </c>
      <c r="H25" s="266">
        <f>F25*G25</f>
        <v>889.875</v>
      </c>
      <c r="I25" s="268">
        <f>(G25*J19)+G25</f>
        <v>245.29628282984672</v>
      </c>
      <c r="J25" s="269">
        <f>F25*I25</f>
        <v>1103.8332727343102</v>
      </c>
      <c r="K25" s="434" t="s">
        <v>687</v>
      </c>
      <c r="L25" s="434"/>
      <c r="M25" s="434"/>
      <c r="N25" s="329"/>
      <c r="O25" s="169"/>
      <c r="P25" s="169">
        <v>4.5</v>
      </c>
      <c r="Q25" s="169">
        <v>4.5</v>
      </c>
      <c r="R25" s="169">
        <f t="shared" si="0"/>
        <v>0</v>
      </c>
      <c r="S25" s="169">
        <f t="shared" si="1"/>
        <v>0</v>
      </c>
      <c r="T25" s="169"/>
      <c r="U25" s="124"/>
      <c r="V25" s="34"/>
      <c r="W25" s="98"/>
      <c r="X25" s="13"/>
    </row>
    <row r="26" spans="1:25" ht="15" customHeight="1">
      <c r="A26" s="198" t="s">
        <v>280</v>
      </c>
      <c r="B26" s="202"/>
      <c r="C26" s="203"/>
      <c r="D26" s="199" t="s">
        <v>281</v>
      </c>
      <c r="E26" s="202"/>
      <c r="F26" s="172"/>
      <c r="G26" s="206"/>
      <c r="H26" s="172"/>
      <c r="I26" s="172"/>
      <c r="J26" s="232">
        <f>SUM(J27:J31)</f>
        <v>3993.579976675951</v>
      </c>
      <c r="K26" s="435" t="s">
        <v>687</v>
      </c>
      <c r="L26" s="435"/>
      <c r="M26" s="435"/>
      <c r="N26" s="235"/>
      <c r="O26" s="168"/>
      <c r="P26" s="169"/>
      <c r="Q26" s="168">
        <v>0</v>
      </c>
      <c r="R26" s="169">
        <f t="shared" si="0"/>
        <v>0</v>
      </c>
      <c r="S26" s="169">
        <f t="shared" si="1"/>
        <v>0</v>
      </c>
      <c r="T26" s="168"/>
      <c r="U26" s="124">
        <f>J26</f>
        <v>3993.579976675951</v>
      </c>
      <c r="V26" s="12"/>
      <c r="X26" s="8"/>
      <c r="Y26" s="12"/>
    </row>
    <row r="27" spans="1:24" ht="15" customHeight="1">
      <c r="A27" s="250" t="s">
        <v>402</v>
      </c>
      <c r="B27" s="250" t="s">
        <v>295</v>
      </c>
      <c r="C27" s="251" t="s">
        <v>320</v>
      </c>
      <c r="D27" s="252" t="s">
        <v>321</v>
      </c>
      <c r="E27" s="250" t="s">
        <v>277</v>
      </c>
      <c r="F27" s="270">
        <f>'[1]MEMÓRIA CÁLCULO'!J27</f>
        <v>28.227800000000002</v>
      </c>
      <c r="G27" s="271">
        <v>19.07</v>
      </c>
      <c r="H27" s="270">
        <f>F27*G27</f>
        <v>538.3041460000001</v>
      </c>
      <c r="I27" s="270">
        <f>(G27*J19)+G27</f>
        <v>23.65512067542441</v>
      </c>
      <c r="J27" s="255">
        <f>F27*I27</f>
        <v>667.7320154017452</v>
      </c>
      <c r="K27" s="433" t="s">
        <v>687</v>
      </c>
      <c r="L27" s="433"/>
      <c r="M27" s="433"/>
      <c r="N27" s="330"/>
      <c r="O27" s="169"/>
      <c r="P27" s="169">
        <v>28.227800000000002</v>
      </c>
      <c r="Q27" s="169">
        <v>28.2278</v>
      </c>
      <c r="R27" s="169">
        <f t="shared" si="0"/>
        <v>0</v>
      </c>
      <c r="S27" s="169">
        <f t="shared" si="1"/>
        <v>0</v>
      </c>
      <c r="T27" s="169"/>
      <c r="U27" s="124"/>
      <c r="X27" s="8"/>
    </row>
    <row r="28" spans="1:24" ht="12.75">
      <c r="A28" s="256" t="s">
        <v>403</v>
      </c>
      <c r="B28" s="256" t="s">
        <v>295</v>
      </c>
      <c r="C28" s="272">
        <v>5622</v>
      </c>
      <c r="D28" s="258" t="s">
        <v>322</v>
      </c>
      <c r="E28" s="256" t="s">
        <v>276</v>
      </c>
      <c r="F28" s="259">
        <f>'[1]MEMÓRIA CÁLCULO'!J44</f>
        <v>25.26</v>
      </c>
      <c r="G28" s="260">
        <v>1.8</v>
      </c>
      <c r="H28" s="259">
        <f>F28*G28</f>
        <v>45.468</v>
      </c>
      <c r="I28" s="259">
        <f>(G28*J19)+G28</f>
        <v>2.232785381004926</v>
      </c>
      <c r="J28" s="262">
        <f>F28*I28</f>
        <v>56.400158724184436</v>
      </c>
      <c r="K28" s="432" t="s">
        <v>687</v>
      </c>
      <c r="L28" s="432"/>
      <c r="M28" s="432"/>
      <c r="N28" s="328"/>
      <c r="O28" s="169"/>
      <c r="P28" s="169">
        <v>25.26</v>
      </c>
      <c r="Q28" s="169">
        <v>25.26</v>
      </c>
      <c r="R28" s="169">
        <f t="shared" si="0"/>
        <v>0</v>
      </c>
      <c r="S28" s="169">
        <f t="shared" si="1"/>
        <v>0</v>
      </c>
      <c r="T28" s="169"/>
      <c r="U28" s="124"/>
      <c r="V28" s="63">
        <v>321708.95</v>
      </c>
      <c r="X28" s="8"/>
    </row>
    <row r="29" spans="1:24" ht="12.75">
      <c r="A29" s="256" t="s">
        <v>404</v>
      </c>
      <c r="B29" s="256" t="s">
        <v>295</v>
      </c>
      <c r="C29" s="272">
        <v>55835</v>
      </c>
      <c r="D29" s="258" t="s">
        <v>323</v>
      </c>
      <c r="E29" s="256" t="s">
        <v>277</v>
      </c>
      <c r="F29" s="259">
        <f>'[1]MEMÓRIA CÁLCULO'!J56</f>
        <v>89.3163</v>
      </c>
      <c r="G29" s="260">
        <v>19.07</v>
      </c>
      <c r="H29" s="259">
        <f>F29*G29</f>
        <v>1703.261841</v>
      </c>
      <c r="I29" s="259">
        <f>(G29*J19)+G29</f>
        <v>23.65512067542441</v>
      </c>
      <c r="J29" s="262">
        <f>F29*I29</f>
        <v>2112.7878547824093</v>
      </c>
      <c r="K29" s="432" t="s">
        <v>687</v>
      </c>
      <c r="L29" s="432"/>
      <c r="M29" s="432"/>
      <c r="N29" s="328"/>
      <c r="O29" s="169"/>
      <c r="P29" s="169">
        <v>89.3163</v>
      </c>
      <c r="Q29" s="169">
        <v>89.3163</v>
      </c>
      <c r="R29" s="169">
        <f t="shared" si="0"/>
        <v>0</v>
      </c>
      <c r="S29" s="169">
        <f t="shared" si="1"/>
        <v>0</v>
      </c>
      <c r="T29" s="169"/>
      <c r="U29" s="124"/>
      <c r="V29" s="14">
        <v>29208.95</v>
      </c>
      <c r="X29" s="8"/>
    </row>
    <row r="30" spans="1:24" ht="12.75">
      <c r="A30" s="256" t="s">
        <v>405</v>
      </c>
      <c r="B30" s="256" t="s">
        <v>295</v>
      </c>
      <c r="C30" s="257" t="s">
        <v>595</v>
      </c>
      <c r="D30" s="258" t="s">
        <v>596</v>
      </c>
      <c r="E30" s="256" t="s">
        <v>277</v>
      </c>
      <c r="F30" s="273">
        <f>F29</f>
        <v>89.3163</v>
      </c>
      <c r="G30" s="260">
        <v>7.46</v>
      </c>
      <c r="H30" s="259">
        <f>F30*G30</f>
        <v>666.299598</v>
      </c>
      <c r="I30" s="259">
        <f>(G30*J19)+G30</f>
        <v>9.253654967942637</v>
      </c>
      <c r="J30" s="262">
        <f>I30*F30</f>
        <v>826.502223213255</v>
      </c>
      <c r="K30" s="432" t="s">
        <v>687</v>
      </c>
      <c r="L30" s="432"/>
      <c r="M30" s="432"/>
      <c r="N30" s="328"/>
      <c r="O30" s="169"/>
      <c r="P30" s="175">
        <v>89.3163</v>
      </c>
      <c r="Q30" s="169">
        <v>89.3163</v>
      </c>
      <c r="R30" s="169">
        <f t="shared" si="0"/>
        <v>0</v>
      </c>
      <c r="S30" s="169">
        <f t="shared" si="1"/>
        <v>0</v>
      </c>
      <c r="T30" s="169"/>
      <c r="U30" s="124"/>
      <c r="V30" s="34">
        <f>V28-V29</f>
        <v>292500</v>
      </c>
      <c r="X30" s="8"/>
    </row>
    <row r="31" spans="1:24" ht="12.75">
      <c r="A31" s="263" t="s">
        <v>406</v>
      </c>
      <c r="B31" s="263" t="s">
        <v>295</v>
      </c>
      <c r="C31" s="264" t="s">
        <v>396</v>
      </c>
      <c r="D31" s="265" t="s">
        <v>45</v>
      </c>
      <c r="E31" s="263" t="s">
        <v>277</v>
      </c>
      <c r="F31" s="274">
        <f>F29</f>
        <v>89.3163</v>
      </c>
      <c r="G31" s="275">
        <v>2.98</v>
      </c>
      <c r="H31" s="266">
        <f>F31*G31</f>
        <v>266.162574</v>
      </c>
      <c r="I31" s="266">
        <f>(G31*J19)+G31</f>
        <v>3.696500241885933</v>
      </c>
      <c r="J31" s="269">
        <f>I31*F31</f>
        <v>330.15772455435655</v>
      </c>
      <c r="K31" s="434" t="s">
        <v>687</v>
      </c>
      <c r="L31" s="434"/>
      <c r="M31" s="434"/>
      <c r="N31" s="329"/>
      <c r="O31" s="169"/>
      <c r="P31" s="175">
        <v>89.3163</v>
      </c>
      <c r="Q31" s="169">
        <v>89.3163</v>
      </c>
      <c r="R31" s="169">
        <f t="shared" si="0"/>
        <v>0</v>
      </c>
      <c r="S31" s="169">
        <f t="shared" si="1"/>
        <v>0</v>
      </c>
      <c r="T31" s="169"/>
      <c r="U31" s="124"/>
      <c r="X31" s="8"/>
    </row>
    <row r="32" spans="1:24" ht="15" customHeight="1">
      <c r="A32" s="198" t="s">
        <v>282</v>
      </c>
      <c r="B32" s="207"/>
      <c r="C32" s="205"/>
      <c r="D32" s="199" t="s">
        <v>385</v>
      </c>
      <c r="E32" s="202"/>
      <c r="F32" s="172"/>
      <c r="G32" s="206"/>
      <c r="H32" s="172"/>
      <c r="I32" s="172"/>
      <c r="J32" s="232">
        <f>SUM(J33:J36)</f>
        <v>58988.756216219765</v>
      </c>
      <c r="K32" s="435" t="s">
        <v>687</v>
      </c>
      <c r="L32" s="435"/>
      <c r="M32" s="435"/>
      <c r="N32" s="235"/>
      <c r="O32" s="168"/>
      <c r="P32" s="169"/>
      <c r="Q32" s="168">
        <v>0</v>
      </c>
      <c r="R32" s="169">
        <f t="shared" si="0"/>
        <v>0</v>
      </c>
      <c r="S32" s="169">
        <f t="shared" si="1"/>
        <v>0</v>
      </c>
      <c r="T32" s="168"/>
      <c r="U32" s="124">
        <f>J32</f>
        <v>58988.756216219765</v>
      </c>
      <c r="X32" s="8"/>
    </row>
    <row r="33" spans="1:24" ht="15" customHeight="1">
      <c r="A33" s="250" t="s">
        <v>407</v>
      </c>
      <c r="B33" s="250" t="s">
        <v>295</v>
      </c>
      <c r="C33" s="251" t="s">
        <v>324</v>
      </c>
      <c r="D33" s="252" t="s">
        <v>325</v>
      </c>
      <c r="E33" s="250" t="s">
        <v>277</v>
      </c>
      <c r="F33" s="270">
        <f>'[1]MEMÓRIA CÁLCULO'!J63</f>
        <v>63.010000000000005</v>
      </c>
      <c r="G33" s="276">
        <v>262.48</v>
      </c>
      <c r="H33" s="270">
        <f>F33*G33</f>
        <v>16538.864800000003</v>
      </c>
      <c r="I33" s="270">
        <f>(G33*J19)+G33</f>
        <v>325.58972600342946</v>
      </c>
      <c r="J33" s="255">
        <f>I33*F33</f>
        <v>20515.40863547609</v>
      </c>
      <c r="K33" s="433" t="s">
        <v>687</v>
      </c>
      <c r="L33" s="433"/>
      <c r="M33" s="433"/>
      <c r="N33" s="330"/>
      <c r="O33" s="169"/>
      <c r="P33" s="169">
        <v>63.01</v>
      </c>
      <c r="Q33" s="169">
        <v>63.01</v>
      </c>
      <c r="R33" s="169">
        <f t="shared" si="0"/>
        <v>0</v>
      </c>
      <c r="S33" s="169">
        <f t="shared" si="1"/>
        <v>0</v>
      </c>
      <c r="T33" s="169"/>
      <c r="U33" s="124"/>
      <c r="X33" s="8"/>
    </row>
    <row r="34" spans="1:24" ht="12.75">
      <c r="A34" s="256" t="s">
        <v>408</v>
      </c>
      <c r="B34" s="256" t="s">
        <v>295</v>
      </c>
      <c r="C34" s="257" t="s">
        <v>299</v>
      </c>
      <c r="D34" s="258" t="s">
        <v>300</v>
      </c>
      <c r="E34" s="256" t="s">
        <v>277</v>
      </c>
      <c r="F34" s="259">
        <f>F33</f>
        <v>63.010000000000005</v>
      </c>
      <c r="G34" s="272">
        <v>86.04</v>
      </c>
      <c r="H34" s="259">
        <f>F34*G34</f>
        <v>5421.380400000001</v>
      </c>
      <c r="I34" s="259">
        <f>(G34*J19)+G34</f>
        <v>106.72714121203546</v>
      </c>
      <c r="J34" s="262">
        <f>I34*F34</f>
        <v>6724.877167770355</v>
      </c>
      <c r="K34" s="432" t="s">
        <v>687</v>
      </c>
      <c r="L34" s="432"/>
      <c r="M34" s="432"/>
      <c r="N34" s="328"/>
      <c r="O34" s="169"/>
      <c r="P34" s="169">
        <v>63.01</v>
      </c>
      <c r="Q34" s="169">
        <v>63.01</v>
      </c>
      <c r="R34" s="169">
        <f t="shared" si="0"/>
        <v>0</v>
      </c>
      <c r="S34" s="169">
        <f t="shared" si="1"/>
        <v>0</v>
      </c>
      <c r="T34" s="169"/>
      <c r="U34" s="124"/>
      <c r="X34" s="8"/>
    </row>
    <row r="35" spans="1:24" ht="12.75">
      <c r="A35" s="256" t="s">
        <v>409</v>
      </c>
      <c r="B35" s="256" t="s">
        <v>294</v>
      </c>
      <c r="C35" s="257" t="s">
        <v>629</v>
      </c>
      <c r="D35" s="258" t="s">
        <v>630</v>
      </c>
      <c r="E35" s="277" t="s">
        <v>284</v>
      </c>
      <c r="F35" s="278">
        <f>'[1]MEMÓRIA CÁLCULO'!J67+'[1]MEMÓRIA CÁLCULO'!J71</f>
        <v>3178</v>
      </c>
      <c r="G35" s="279">
        <v>5.09</v>
      </c>
      <c r="H35" s="278">
        <f>F35*G35</f>
        <v>16176.02</v>
      </c>
      <c r="I35" s="278">
        <f>(G35*J19)+G35</f>
        <v>6.313820882952818</v>
      </c>
      <c r="J35" s="280">
        <f>I35*F35</f>
        <v>20065.322766024055</v>
      </c>
      <c r="K35" s="432" t="s">
        <v>687</v>
      </c>
      <c r="L35" s="432"/>
      <c r="M35" s="432"/>
      <c r="N35" s="331"/>
      <c r="O35" s="170"/>
      <c r="P35" s="170">
        <v>3178</v>
      </c>
      <c r="Q35" s="170">
        <v>3178</v>
      </c>
      <c r="R35" s="169">
        <f t="shared" si="0"/>
        <v>0</v>
      </c>
      <c r="S35" s="169">
        <f t="shared" si="1"/>
        <v>0</v>
      </c>
      <c r="T35" s="170"/>
      <c r="U35" s="124"/>
      <c r="X35" s="8"/>
    </row>
    <row r="36" spans="1:24" ht="15" customHeight="1">
      <c r="A36" s="263" t="s">
        <v>410</v>
      </c>
      <c r="B36" s="263" t="s">
        <v>295</v>
      </c>
      <c r="C36" s="264">
        <v>72830</v>
      </c>
      <c r="D36" s="265" t="s">
        <v>399</v>
      </c>
      <c r="E36" s="263" t="s">
        <v>276</v>
      </c>
      <c r="F36" s="266">
        <f>'[1]MEMÓRIA CÁLCULO'!J77</f>
        <v>445.64</v>
      </c>
      <c r="G36" s="275">
        <v>21.13495</v>
      </c>
      <c r="H36" s="266">
        <f>F36*G36</f>
        <v>9418.579118</v>
      </c>
      <c r="I36" s="266">
        <f>(G36*J19)+G36</f>
        <v>26.216559660150033</v>
      </c>
      <c r="J36" s="269">
        <f>I36*F36</f>
        <v>11683.14764694926</v>
      </c>
      <c r="K36" s="434" t="s">
        <v>687</v>
      </c>
      <c r="L36" s="434"/>
      <c r="M36" s="434"/>
      <c r="N36" s="329"/>
      <c r="O36" s="169"/>
      <c r="P36" s="169">
        <v>445.64</v>
      </c>
      <c r="Q36" s="169">
        <v>445.64</v>
      </c>
      <c r="R36" s="169">
        <f t="shared" si="0"/>
        <v>0</v>
      </c>
      <c r="S36" s="169">
        <f t="shared" si="1"/>
        <v>0</v>
      </c>
      <c r="T36" s="169"/>
      <c r="U36" s="124"/>
      <c r="X36" s="8"/>
    </row>
    <row r="37" spans="1:24" ht="15" customHeight="1">
      <c r="A37" s="198" t="s">
        <v>43</v>
      </c>
      <c r="B37" s="202"/>
      <c r="C37" s="203"/>
      <c r="D37" s="199" t="s">
        <v>513</v>
      </c>
      <c r="E37" s="202"/>
      <c r="F37" s="172"/>
      <c r="G37" s="206"/>
      <c r="H37" s="172"/>
      <c r="I37" s="172"/>
      <c r="J37" s="232">
        <f>SUM(J38:J41)</f>
        <v>29438.33156428954</v>
      </c>
      <c r="K37" s="237">
        <f>F37</f>
        <v>0</v>
      </c>
      <c r="L37" s="236"/>
      <c r="M37" s="235">
        <f>SUM(M38:M41)</f>
        <v>11681.372237730064</v>
      </c>
      <c r="N37" s="284"/>
      <c r="O37" s="168"/>
      <c r="P37" s="169"/>
      <c r="Q37" s="168">
        <v>0</v>
      </c>
      <c r="R37" s="169">
        <f t="shared" si="0"/>
        <v>0</v>
      </c>
      <c r="S37" s="169">
        <f t="shared" si="1"/>
        <v>0</v>
      </c>
      <c r="T37" s="168"/>
      <c r="U37" s="124">
        <f>J37</f>
        <v>29438.33156428954</v>
      </c>
      <c r="W37" s="12">
        <f>U163</f>
        <v>0.004112278809770942</v>
      </c>
      <c r="X37" s="8"/>
    </row>
    <row r="38" spans="1:24" ht="15" customHeight="1">
      <c r="A38" s="250" t="s">
        <v>44</v>
      </c>
      <c r="B38" s="250" t="s">
        <v>295</v>
      </c>
      <c r="C38" s="251" t="s">
        <v>127</v>
      </c>
      <c r="D38" s="252" t="s">
        <v>400</v>
      </c>
      <c r="E38" s="250" t="s">
        <v>276</v>
      </c>
      <c r="F38" s="270">
        <f>'[1]MEMÓRIA CÁLCULO'!J12</f>
        <v>538</v>
      </c>
      <c r="G38" s="271">
        <v>25.27</v>
      </c>
      <c r="H38" s="270">
        <f>F38*G38</f>
        <v>13595.26</v>
      </c>
      <c r="I38" s="270">
        <f>(G38*J19)+G38</f>
        <v>31.345825876663596</v>
      </c>
      <c r="J38" s="255">
        <f>F38*I38</f>
        <v>16864.054321645013</v>
      </c>
      <c r="K38" s="281">
        <f aca="true" t="shared" si="2" ref="K38:K69">F38-Q38</f>
        <v>107</v>
      </c>
      <c r="L38" s="282">
        <f aca="true" t="shared" si="3" ref="L38:L69">(G38*J$19)+G38</f>
        <v>31.345825876663596</v>
      </c>
      <c r="M38" s="283">
        <f>K38*L38</f>
        <v>3354.003368803005</v>
      </c>
      <c r="N38" s="284">
        <f>K38/F38</f>
        <v>0.19888475836431227</v>
      </c>
      <c r="O38" s="169"/>
      <c r="P38" s="169">
        <v>538</v>
      </c>
      <c r="Q38" s="169">
        <v>431</v>
      </c>
      <c r="R38" s="169">
        <f t="shared" si="0"/>
        <v>107</v>
      </c>
      <c r="S38" s="169">
        <f t="shared" si="1"/>
        <v>3354.003368803005</v>
      </c>
      <c r="T38" s="169"/>
      <c r="U38" s="124"/>
      <c r="V38" s="12"/>
      <c r="X38" s="8"/>
    </row>
    <row r="39" spans="1:24" ht="12.75">
      <c r="A39" s="256" t="s">
        <v>73</v>
      </c>
      <c r="B39" s="256" t="s">
        <v>295</v>
      </c>
      <c r="C39" s="257" t="s">
        <v>307</v>
      </c>
      <c r="D39" s="258" t="s">
        <v>72</v>
      </c>
      <c r="E39" s="256" t="s">
        <v>276</v>
      </c>
      <c r="F39" s="259">
        <f>'[1]MEMÓRIA CÁLCULO'!J217</f>
        <v>49.896</v>
      </c>
      <c r="G39" s="260">
        <v>125.9</v>
      </c>
      <c r="H39" s="259">
        <f>F39*G39</f>
        <v>6281.906400000001</v>
      </c>
      <c r="I39" s="259">
        <f>(G39*J19)+G39</f>
        <v>156.17093303806678</v>
      </c>
      <c r="J39" s="262">
        <f>F39*I39</f>
        <v>7792.30487486738</v>
      </c>
      <c r="K39" s="285">
        <f t="shared" si="2"/>
        <v>49.896</v>
      </c>
      <c r="L39" s="286">
        <f t="shared" si="3"/>
        <v>156.17093303806678</v>
      </c>
      <c r="M39" s="287">
        <f>K39*L39</f>
        <v>7792.30487486738</v>
      </c>
      <c r="N39" s="288">
        <f>K39/F39</f>
        <v>1</v>
      </c>
      <c r="O39" s="169"/>
      <c r="P39" s="169">
        <v>49.896</v>
      </c>
      <c r="Q39" s="169">
        <v>0</v>
      </c>
      <c r="R39" s="169">
        <f t="shared" si="0"/>
        <v>49.896</v>
      </c>
      <c r="S39" s="169">
        <f t="shared" si="1"/>
        <v>7792.30487486738</v>
      </c>
      <c r="T39" s="169"/>
      <c r="U39" s="124"/>
      <c r="V39" s="12"/>
      <c r="X39" s="8"/>
    </row>
    <row r="40" spans="1:24" ht="12.75">
      <c r="A40" s="256" t="s">
        <v>125</v>
      </c>
      <c r="B40" s="256" t="s">
        <v>294</v>
      </c>
      <c r="C40" s="257" t="s">
        <v>259</v>
      </c>
      <c r="D40" s="258" t="s">
        <v>260</v>
      </c>
      <c r="E40" s="256" t="s">
        <v>276</v>
      </c>
      <c r="F40" s="259">
        <f>'[1]MEMÓRIA CÁLCULO'!J264</f>
        <v>6.266000000000001</v>
      </c>
      <c r="G40" s="260">
        <v>68.84</v>
      </c>
      <c r="H40" s="259">
        <f>F40*G40</f>
        <v>431.3514400000001</v>
      </c>
      <c r="I40" s="259">
        <f>(G40*J19)+G40</f>
        <v>85.39163646021062</v>
      </c>
      <c r="J40" s="262">
        <f>F40*I40</f>
        <v>535.0639940596798</v>
      </c>
      <c r="K40" s="285">
        <f t="shared" si="2"/>
        <v>6.266000000000001</v>
      </c>
      <c r="L40" s="286">
        <f t="shared" si="3"/>
        <v>85.39163646021062</v>
      </c>
      <c r="M40" s="287">
        <f>K40*L40</f>
        <v>535.0639940596798</v>
      </c>
      <c r="N40" s="288">
        <f>K40/F40</f>
        <v>1</v>
      </c>
      <c r="O40" s="169"/>
      <c r="P40" s="169">
        <v>6.266000000000001</v>
      </c>
      <c r="Q40" s="169">
        <v>0</v>
      </c>
      <c r="R40" s="169">
        <f t="shared" si="0"/>
        <v>6.266000000000001</v>
      </c>
      <c r="S40" s="169">
        <f t="shared" si="1"/>
        <v>535.0639940596798</v>
      </c>
      <c r="T40" s="169"/>
      <c r="U40" s="124"/>
      <c r="V40" s="12"/>
      <c r="X40" s="8"/>
    </row>
    <row r="41" spans="1:24" ht="12.75">
      <c r="A41" s="263" t="s">
        <v>126</v>
      </c>
      <c r="B41" s="263" t="s">
        <v>295</v>
      </c>
      <c r="C41" s="264" t="s">
        <v>257</v>
      </c>
      <c r="D41" s="265" t="s">
        <v>258</v>
      </c>
      <c r="E41" s="263" t="s">
        <v>276</v>
      </c>
      <c r="F41" s="266">
        <f>'[1]MEMÓRIA CÁLCULO'!J14</f>
        <v>80.53920000000001</v>
      </c>
      <c r="G41" s="275">
        <v>42.51</v>
      </c>
      <c r="H41" s="266">
        <f>F41*G41</f>
        <v>3423.7213920000004</v>
      </c>
      <c r="I41" s="266">
        <f>(G41*J19)+G41</f>
        <v>52.73094808139967</v>
      </c>
      <c r="J41" s="269">
        <f>F41*I41</f>
        <v>4246.908373717464</v>
      </c>
      <c r="K41" s="289">
        <f t="shared" si="2"/>
        <v>0</v>
      </c>
      <c r="L41" s="290">
        <f t="shared" si="3"/>
        <v>52.73094808139967</v>
      </c>
      <c r="M41" s="291">
        <f>K41*L41</f>
        <v>0</v>
      </c>
      <c r="N41" s="292">
        <f>K41/F41</f>
        <v>0</v>
      </c>
      <c r="O41" s="169"/>
      <c r="P41" s="169">
        <v>80.53920000000001</v>
      </c>
      <c r="Q41" s="169">
        <v>80.53920000000001</v>
      </c>
      <c r="R41" s="169">
        <f t="shared" si="0"/>
        <v>0</v>
      </c>
      <c r="S41" s="169">
        <f t="shared" si="1"/>
        <v>0</v>
      </c>
      <c r="T41" s="169"/>
      <c r="U41" s="124"/>
      <c r="V41" s="12"/>
      <c r="X41" s="8"/>
    </row>
    <row r="42" spans="1:24" ht="15" customHeight="1">
      <c r="A42" s="198" t="s">
        <v>61</v>
      </c>
      <c r="B42" s="202"/>
      <c r="C42" s="203"/>
      <c r="D42" s="199" t="s">
        <v>267</v>
      </c>
      <c r="E42" s="202"/>
      <c r="F42" s="172"/>
      <c r="G42" s="206"/>
      <c r="H42" s="172"/>
      <c r="I42" s="172"/>
      <c r="J42" s="232">
        <f>SUM(J43:J50)</f>
        <v>37681.457889829246</v>
      </c>
      <c r="K42" s="237">
        <f t="shared" si="2"/>
        <v>0</v>
      </c>
      <c r="L42" s="238">
        <f t="shared" si="3"/>
        <v>0</v>
      </c>
      <c r="M42" s="235">
        <f>SUM(M43:M50)</f>
        <v>34398.39507432606</v>
      </c>
      <c r="N42" s="239"/>
      <c r="O42" s="168"/>
      <c r="P42" s="169"/>
      <c r="Q42" s="168">
        <v>0</v>
      </c>
      <c r="R42" s="169">
        <f t="shared" si="0"/>
        <v>0</v>
      </c>
      <c r="S42" s="169">
        <f t="shared" si="1"/>
        <v>0</v>
      </c>
      <c r="T42" s="168"/>
      <c r="U42" s="124">
        <f>J42</f>
        <v>37681.457889829246</v>
      </c>
      <c r="V42" s="10"/>
      <c r="X42" s="8"/>
    </row>
    <row r="43" spans="1:24" ht="15" customHeight="1">
      <c r="A43" s="250" t="s">
        <v>62</v>
      </c>
      <c r="B43" s="250" t="s">
        <v>295</v>
      </c>
      <c r="C43" s="251">
        <v>5974</v>
      </c>
      <c r="D43" s="252" t="s">
        <v>492</v>
      </c>
      <c r="E43" s="250" t="s">
        <v>276</v>
      </c>
      <c r="F43" s="270">
        <f>'[1]MEMÓRIA CÁLCULO'!J107</f>
        <v>1242.4496000000001</v>
      </c>
      <c r="G43" s="271">
        <v>2.66</v>
      </c>
      <c r="H43" s="270">
        <f aca="true" t="shared" si="4" ref="H43:H50">F43*G43</f>
        <v>3304.915936000001</v>
      </c>
      <c r="I43" s="270">
        <f>(G43*J19)+G43</f>
        <v>3.2995606185961686</v>
      </c>
      <c r="J43" s="255">
        <f aca="true" t="shared" si="5" ref="J43:J50">I43*F43</f>
        <v>4099.537770750562</v>
      </c>
      <c r="K43" s="281">
        <f t="shared" si="2"/>
        <v>247.44960000000015</v>
      </c>
      <c r="L43" s="282">
        <f t="shared" si="3"/>
        <v>3.2995606185961686</v>
      </c>
      <c r="M43" s="283">
        <f aca="true" t="shared" si="6" ref="M43:M50">K43*L43</f>
        <v>816.474955247375</v>
      </c>
      <c r="N43" s="284">
        <f aca="true" t="shared" si="7" ref="N43:N50">K43/F43</f>
        <v>0.19916268635766</v>
      </c>
      <c r="O43" s="169"/>
      <c r="P43" s="169">
        <v>1242.4496000000001</v>
      </c>
      <c r="Q43" s="169">
        <v>995</v>
      </c>
      <c r="R43" s="169">
        <f t="shared" si="0"/>
        <v>247.44960000000015</v>
      </c>
      <c r="S43" s="169">
        <f t="shared" si="1"/>
        <v>816.474955247375</v>
      </c>
      <c r="T43" s="169"/>
      <c r="U43" s="124"/>
      <c r="V43" s="10"/>
      <c r="X43" s="8"/>
    </row>
    <row r="44" spans="1:24" ht="12.75">
      <c r="A44" s="256" t="s">
        <v>63</v>
      </c>
      <c r="B44" s="256" t="s">
        <v>295</v>
      </c>
      <c r="C44" s="257">
        <v>5995</v>
      </c>
      <c r="D44" s="258" t="s">
        <v>491</v>
      </c>
      <c r="E44" s="256" t="s">
        <v>276</v>
      </c>
      <c r="F44" s="259">
        <f>'[1]MEMÓRIA CÁLCULO'!J109</f>
        <v>1242.4496000000001</v>
      </c>
      <c r="G44" s="260">
        <v>8.13</v>
      </c>
      <c r="H44" s="259">
        <f t="shared" si="4"/>
        <v>10101.115248000002</v>
      </c>
      <c r="I44" s="259">
        <f>(G44*J19)+G44</f>
        <v>10.084747304205584</v>
      </c>
      <c r="J44" s="262">
        <f t="shared" si="5"/>
        <v>12529.790254211308</v>
      </c>
      <c r="K44" s="285">
        <f t="shared" si="2"/>
        <v>1242.4496000000001</v>
      </c>
      <c r="L44" s="286">
        <f t="shared" si="3"/>
        <v>10.084747304205584</v>
      </c>
      <c r="M44" s="287">
        <f t="shared" si="6"/>
        <v>12529.790254211308</v>
      </c>
      <c r="N44" s="288">
        <f t="shared" si="7"/>
        <v>1</v>
      </c>
      <c r="O44" s="169"/>
      <c r="P44" s="169">
        <v>1242.4496000000001</v>
      </c>
      <c r="Q44" s="169">
        <v>0</v>
      </c>
      <c r="R44" s="169">
        <f t="shared" si="0"/>
        <v>1242.4496000000001</v>
      </c>
      <c r="S44" s="169">
        <f t="shared" si="1"/>
        <v>12529.790254211308</v>
      </c>
      <c r="T44" s="169"/>
      <c r="U44" s="124"/>
      <c r="V44" s="10"/>
      <c r="X44" s="8"/>
    </row>
    <row r="45" spans="1:24" ht="12.75">
      <c r="A45" s="256" t="s">
        <v>64</v>
      </c>
      <c r="B45" s="256" t="s">
        <v>295</v>
      </c>
      <c r="C45" s="257" t="s">
        <v>301</v>
      </c>
      <c r="D45" s="258" t="s">
        <v>545</v>
      </c>
      <c r="E45" s="256" t="s">
        <v>276</v>
      </c>
      <c r="F45" s="259">
        <f>'[1]MEMÓRIA CÁLCULO'!J147</f>
        <v>30.62</v>
      </c>
      <c r="G45" s="260">
        <v>28.08</v>
      </c>
      <c r="H45" s="259">
        <f t="shared" si="4"/>
        <v>859.8095999999999</v>
      </c>
      <c r="I45" s="259">
        <f>(G45*J19)+G45</f>
        <v>34.83145194367684</v>
      </c>
      <c r="J45" s="262">
        <f t="shared" si="5"/>
        <v>1066.5390585153848</v>
      </c>
      <c r="K45" s="285">
        <f t="shared" si="2"/>
        <v>30.62</v>
      </c>
      <c r="L45" s="286">
        <f t="shared" si="3"/>
        <v>34.83145194367684</v>
      </c>
      <c r="M45" s="287">
        <f t="shared" si="6"/>
        <v>1066.5390585153848</v>
      </c>
      <c r="N45" s="288">
        <f t="shared" si="7"/>
        <v>1</v>
      </c>
      <c r="O45" s="169"/>
      <c r="P45" s="169">
        <v>30.62</v>
      </c>
      <c r="Q45" s="169">
        <v>0</v>
      </c>
      <c r="R45" s="169">
        <f t="shared" si="0"/>
        <v>30.62</v>
      </c>
      <c r="S45" s="169">
        <f t="shared" si="1"/>
        <v>1066.5390585153848</v>
      </c>
      <c r="T45" s="169"/>
      <c r="U45" s="124"/>
      <c r="V45" s="10"/>
      <c r="X45" s="8"/>
    </row>
    <row r="46" spans="1:24" ht="12.75">
      <c r="A46" s="256" t="s">
        <v>65</v>
      </c>
      <c r="B46" s="256" t="s">
        <v>295</v>
      </c>
      <c r="C46" s="257" t="s">
        <v>49</v>
      </c>
      <c r="D46" s="258" t="s">
        <v>50</v>
      </c>
      <c r="E46" s="256" t="s">
        <v>276</v>
      </c>
      <c r="F46" s="259">
        <f>F44</f>
        <v>1242.4496000000001</v>
      </c>
      <c r="G46" s="260">
        <v>2.44</v>
      </c>
      <c r="H46" s="259">
        <f t="shared" si="4"/>
        <v>3031.577024</v>
      </c>
      <c r="I46" s="259">
        <f>(G46*J19)+G46</f>
        <v>3.026664627584455</v>
      </c>
      <c r="J46" s="262">
        <f t="shared" si="5"/>
        <v>3760.4782558764555</v>
      </c>
      <c r="K46" s="285">
        <f t="shared" si="2"/>
        <v>1242.4496000000001</v>
      </c>
      <c r="L46" s="286">
        <f t="shared" si="3"/>
        <v>3.026664627584455</v>
      </c>
      <c r="M46" s="287">
        <f t="shared" si="6"/>
        <v>3760.4782558764555</v>
      </c>
      <c r="N46" s="288">
        <f t="shared" si="7"/>
        <v>1</v>
      </c>
      <c r="O46" s="169"/>
      <c r="P46" s="169">
        <v>1242.4496000000001</v>
      </c>
      <c r="Q46" s="169">
        <v>0</v>
      </c>
      <c r="R46" s="169">
        <f t="shared" si="0"/>
        <v>1242.4496000000001</v>
      </c>
      <c r="S46" s="169">
        <f t="shared" si="1"/>
        <v>3760.4782558764555</v>
      </c>
      <c r="T46" s="169"/>
      <c r="U46" s="124"/>
      <c r="V46" s="10"/>
      <c r="X46" s="8"/>
    </row>
    <row r="47" spans="1:24" ht="12.75">
      <c r="A47" s="256" t="s">
        <v>411</v>
      </c>
      <c r="B47" s="256" t="s">
        <v>295</v>
      </c>
      <c r="C47" s="257" t="s">
        <v>51</v>
      </c>
      <c r="D47" s="258" t="s">
        <v>52</v>
      </c>
      <c r="E47" s="256" t="s">
        <v>276</v>
      </c>
      <c r="F47" s="259">
        <f>'[1]MEMÓRIA CÁLCULO'!J112+'[1]MEMÓRIA CÁLCULO'!J114</f>
        <v>1085.6496000000002</v>
      </c>
      <c r="G47" s="260">
        <v>10.01</v>
      </c>
      <c r="H47" s="259">
        <f t="shared" si="4"/>
        <v>10867.352496000001</v>
      </c>
      <c r="I47" s="259">
        <f>(G47*J19)+G47</f>
        <v>12.416767591032949</v>
      </c>
      <c r="J47" s="262">
        <f t="shared" si="5"/>
        <v>13480.258768497886</v>
      </c>
      <c r="K47" s="285">
        <f t="shared" si="2"/>
        <v>1085.6496000000002</v>
      </c>
      <c r="L47" s="286">
        <f t="shared" si="3"/>
        <v>12.416767591032949</v>
      </c>
      <c r="M47" s="287">
        <f t="shared" si="6"/>
        <v>13480.258768497886</v>
      </c>
      <c r="N47" s="288">
        <f t="shared" si="7"/>
        <v>1</v>
      </c>
      <c r="O47" s="169"/>
      <c r="P47" s="169">
        <v>1085.6496000000002</v>
      </c>
      <c r="Q47" s="169">
        <v>0</v>
      </c>
      <c r="R47" s="169">
        <f t="shared" si="0"/>
        <v>1085.6496000000002</v>
      </c>
      <c r="S47" s="169">
        <f t="shared" si="1"/>
        <v>13480.258768497886</v>
      </c>
      <c r="T47" s="169"/>
      <c r="U47" s="124"/>
      <c r="V47" s="10"/>
      <c r="X47" s="8"/>
    </row>
    <row r="48" spans="1:24" ht="12.75">
      <c r="A48" s="256" t="s">
        <v>66</v>
      </c>
      <c r="B48" s="256" t="s">
        <v>295</v>
      </c>
      <c r="C48" s="257" t="s">
        <v>303</v>
      </c>
      <c r="D48" s="258" t="s">
        <v>302</v>
      </c>
      <c r="E48" s="256" t="s">
        <v>276</v>
      </c>
      <c r="F48" s="259">
        <f>'[1]MEMÓRIA CÁLCULO'!J113</f>
        <v>156.8</v>
      </c>
      <c r="G48" s="260">
        <v>6.26</v>
      </c>
      <c r="H48" s="259">
        <f t="shared" si="4"/>
        <v>981.568</v>
      </c>
      <c r="I48" s="259">
        <f>(G48*J19)+G48</f>
        <v>7.76513138060602</v>
      </c>
      <c r="J48" s="262">
        <f t="shared" si="5"/>
        <v>1217.572600479024</v>
      </c>
      <c r="K48" s="285">
        <f t="shared" si="2"/>
        <v>156.8</v>
      </c>
      <c r="L48" s="286">
        <f t="shared" si="3"/>
        <v>7.76513138060602</v>
      </c>
      <c r="M48" s="287">
        <f t="shared" si="6"/>
        <v>1217.572600479024</v>
      </c>
      <c r="N48" s="288">
        <f t="shared" si="7"/>
        <v>1</v>
      </c>
      <c r="O48" s="169"/>
      <c r="P48" s="169">
        <v>156.8</v>
      </c>
      <c r="Q48" s="169">
        <v>0</v>
      </c>
      <c r="R48" s="169">
        <f t="shared" si="0"/>
        <v>156.8</v>
      </c>
      <c r="S48" s="169">
        <f t="shared" si="1"/>
        <v>1217.572600479024</v>
      </c>
      <c r="T48" s="169"/>
      <c r="U48" s="124"/>
      <c r="V48" s="10"/>
      <c r="X48" s="8"/>
    </row>
    <row r="49" spans="1:24" ht="12.75">
      <c r="A49" s="256" t="s">
        <v>67</v>
      </c>
      <c r="B49" s="256" t="s">
        <v>295</v>
      </c>
      <c r="C49" s="257" t="s">
        <v>53</v>
      </c>
      <c r="D49" s="258" t="s">
        <v>68</v>
      </c>
      <c r="E49" s="256" t="s">
        <v>276</v>
      </c>
      <c r="F49" s="259">
        <f>'[1]MEMÓRIA CÁLCULO'!H133</f>
        <v>88.05999999999999</v>
      </c>
      <c r="G49" s="260">
        <v>13.22</v>
      </c>
      <c r="H49" s="259">
        <f t="shared" si="4"/>
        <v>1164.1532</v>
      </c>
      <c r="I49" s="259">
        <f>(G49*J19)+G49</f>
        <v>16.3985681871584</v>
      </c>
      <c r="J49" s="262">
        <f t="shared" si="5"/>
        <v>1444.0579145611684</v>
      </c>
      <c r="K49" s="285">
        <f t="shared" si="2"/>
        <v>88.05999999999999</v>
      </c>
      <c r="L49" s="286">
        <f t="shared" si="3"/>
        <v>16.3985681871584</v>
      </c>
      <c r="M49" s="287">
        <f t="shared" si="6"/>
        <v>1444.0579145611684</v>
      </c>
      <c r="N49" s="288">
        <f t="shared" si="7"/>
        <v>1</v>
      </c>
      <c r="O49" s="169"/>
      <c r="P49" s="169">
        <v>88.06</v>
      </c>
      <c r="Q49" s="169">
        <v>0</v>
      </c>
      <c r="R49" s="169">
        <f t="shared" si="0"/>
        <v>88.06</v>
      </c>
      <c r="S49" s="169">
        <f t="shared" si="1"/>
        <v>1444.0579145611687</v>
      </c>
      <c r="T49" s="169"/>
      <c r="U49" s="124"/>
      <c r="V49" s="10"/>
      <c r="X49" s="8"/>
    </row>
    <row r="50" spans="1:24" ht="12.75">
      <c r="A50" s="263" t="s">
        <v>71</v>
      </c>
      <c r="B50" s="263" t="s">
        <v>295</v>
      </c>
      <c r="C50" s="264">
        <v>6067</v>
      </c>
      <c r="D50" s="265" t="s">
        <v>60</v>
      </c>
      <c r="E50" s="263" t="s">
        <v>276</v>
      </c>
      <c r="F50" s="266">
        <f>'[1]MEMÓRIA CÁLCULO'!H121</f>
        <v>4.0489999999999995</v>
      </c>
      <c r="G50" s="275">
        <v>16.57</v>
      </c>
      <c r="H50" s="266">
        <f t="shared" si="4"/>
        <v>67.09192999999999</v>
      </c>
      <c r="I50" s="266">
        <f>(G50*J19)+G50</f>
        <v>20.554029868473123</v>
      </c>
      <c r="J50" s="269">
        <f t="shared" si="5"/>
        <v>83.22326693744766</v>
      </c>
      <c r="K50" s="289">
        <f t="shared" si="2"/>
        <v>4.0489999999999995</v>
      </c>
      <c r="L50" s="290">
        <f t="shared" si="3"/>
        <v>20.554029868473123</v>
      </c>
      <c r="M50" s="291">
        <f t="shared" si="6"/>
        <v>83.22326693744766</v>
      </c>
      <c r="N50" s="292">
        <f t="shared" si="7"/>
        <v>1</v>
      </c>
      <c r="O50" s="169"/>
      <c r="P50" s="169">
        <v>4.0489999999999995</v>
      </c>
      <c r="Q50" s="169">
        <v>0</v>
      </c>
      <c r="R50" s="169">
        <f t="shared" si="0"/>
        <v>4.0489999999999995</v>
      </c>
      <c r="S50" s="169">
        <f t="shared" si="1"/>
        <v>83.22326693744766</v>
      </c>
      <c r="T50" s="169"/>
      <c r="U50" s="124"/>
      <c r="V50" s="10"/>
      <c r="X50" s="8"/>
    </row>
    <row r="51" spans="1:24" ht="12.75">
      <c r="A51" s="198" t="s">
        <v>100</v>
      </c>
      <c r="B51" s="202"/>
      <c r="C51" s="203"/>
      <c r="D51" s="199" t="s">
        <v>286</v>
      </c>
      <c r="E51" s="202"/>
      <c r="F51" s="172"/>
      <c r="G51" s="206"/>
      <c r="H51" s="172"/>
      <c r="I51" s="172"/>
      <c r="J51" s="232">
        <f>SUM(J52:J59)</f>
        <v>40841.082152930874</v>
      </c>
      <c r="K51" s="237">
        <f t="shared" si="2"/>
        <v>0</v>
      </c>
      <c r="L51" s="238">
        <f t="shared" si="3"/>
        <v>0</v>
      </c>
      <c r="M51" s="235">
        <f>SUM(M52:M59)</f>
        <v>31203.043878375815</v>
      </c>
      <c r="N51" s="239"/>
      <c r="O51" s="168"/>
      <c r="P51" s="169"/>
      <c r="Q51" s="168">
        <v>0</v>
      </c>
      <c r="R51" s="169">
        <f t="shared" si="0"/>
        <v>0</v>
      </c>
      <c r="S51" s="169">
        <f t="shared" si="1"/>
        <v>0</v>
      </c>
      <c r="T51" s="168"/>
      <c r="U51" s="124">
        <f>J51</f>
        <v>40841.082152930874</v>
      </c>
      <c r="X51" s="8"/>
    </row>
    <row r="52" spans="1:24" ht="15" customHeight="1">
      <c r="A52" s="250" t="s">
        <v>412</v>
      </c>
      <c r="B52" s="250" t="s">
        <v>295</v>
      </c>
      <c r="C52" s="251" t="s">
        <v>305</v>
      </c>
      <c r="D52" s="252" t="s">
        <v>306</v>
      </c>
      <c r="E52" s="250" t="s">
        <v>276</v>
      </c>
      <c r="F52" s="270">
        <f>'[1]MEMÓRIA CÁLCULO'!J159</f>
        <v>390.2500000000001</v>
      </c>
      <c r="G52" s="271">
        <v>19.91</v>
      </c>
      <c r="H52" s="270">
        <f aca="true" t="shared" si="8" ref="H52:H59">F52*G52</f>
        <v>7769.877500000002</v>
      </c>
      <c r="I52" s="270">
        <f>(G52*J19)+G52</f>
        <v>24.69708718656004</v>
      </c>
      <c r="J52" s="255">
        <f aca="true" t="shared" si="9" ref="J52:J59">I52*F52</f>
        <v>9638.038274555058</v>
      </c>
      <c r="K52" s="281">
        <f t="shared" si="2"/>
        <v>0</v>
      </c>
      <c r="L52" s="282">
        <f t="shared" si="3"/>
        <v>24.69708718656004</v>
      </c>
      <c r="M52" s="283">
        <f aca="true" t="shared" si="10" ref="M52:M59">K52*L52</f>
        <v>0</v>
      </c>
      <c r="N52" s="284">
        <f aca="true" t="shared" si="11" ref="N52:N59">K52/F52</f>
        <v>0</v>
      </c>
      <c r="O52" s="169"/>
      <c r="P52" s="169">
        <v>390.25</v>
      </c>
      <c r="Q52" s="169">
        <v>390.25</v>
      </c>
      <c r="R52" s="169">
        <f t="shared" si="0"/>
        <v>0</v>
      </c>
      <c r="S52" s="169">
        <f t="shared" si="1"/>
        <v>0</v>
      </c>
      <c r="T52" s="169"/>
      <c r="U52" s="124"/>
      <c r="X52" s="8"/>
    </row>
    <row r="53" spans="1:23" ht="12.75">
      <c r="A53" s="256" t="s">
        <v>413</v>
      </c>
      <c r="B53" s="256" t="s">
        <v>295</v>
      </c>
      <c r="C53" s="257" t="s">
        <v>69</v>
      </c>
      <c r="D53" s="258" t="s">
        <v>250</v>
      </c>
      <c r="E53" s="256" t="s">
        <v>276</v>
      </c>
      <c r="F53" s="259">
        <f>'[1]MEMÓRIA CÁLCULO'!J172</f>
        <v>43.29</v>
      </c>
      <c r="G53" s="260">
        <v>56.98</v>
      </c>
      <c r="H53" s="259">
        <f t="shared" si="8"/>
        <v>2466.6641999999997</v>
      </c>
      <c r="I53" s="259">
        <f>(G53*J19)+G53</f>
        <v>70.6800616720337</v>
      </c>
      <c r="J53" s="262">
        <f t="shared" si="9"/>
        <v>3059.7398697823387</v>
      </c>
      <c r="K53" s="285">
        <f t="shared" si="2"/>
        <v>43.29</v>
      </c>
      <c r="L53" s="286">
        <f t="shared" si="3"/>
        <v>70.6800616720337</v>
      </c>
      <c r="M53" s="287">
        <f t="shared" si="10"/>
        <v>3059.7398697823387</v>
      </c>
      <c r="N53" s="288">
        <f t="shared" si="11"/>
        <v>1</v>
      </c>
      <c r="O53" s="169"/>
      <c r="P53" s="169">
        <v>43.29</v>
      </c>
      <c r="Q53" s="169">
        <v>0</v>
      </c>
      <c r="R53" s="169">
        <f t="shared" si="0"/>
        <v>43.29</v>
      </c>
      <c r="S53" s="169">
        <f t="shared" si="1"/>
        <v>3059.7398697823387</v>
      </c>
      <c r="T53" s="169"/>
      <c r="U53" s="124"/>
      <c r="V53" s="46"/>
      <c r="W53" s="11"/>
    </row>
    <row r="54" spans="1:23" ht="12.75">
      <c r="A54" s="256" t="s">
        <v>414</v>
      </c>
      <c r="B54" s="256" t="s">
        <v>295</v>
      </c>
      <c r="C54" s="257">
        <v>9691</v>
      </c>
      <c r="D54" s="258" t="s">
        <v>546</v>
      </c>
      <c r="E54" s="256" t="s">
        <v>276</v>
      </c>
      <c r="F54" s="259">
        <f>'[1]MEMÓRIA CÁLCULO'!J165</f>
        <v>207.56</v>
      </c>
      <c r="G54" s="260">
        <v>53.41</v>
      </c>
      <c r="H54" s="259">
        <f t="shared" si="8"/>
        <v>11085.7796</v>
      </c>
      <c r="I54" s="259">
        <f>(G54*J19)+G54</f>
        <v>66.25170399970727</v>
      </c>
      <c r="J54" s="262">
        <f t="shared" si="9"/>
        <v>13751.203682179243</v>
      </c>
      <c r="K54" s="285">
        <f t="shared" si="2"/>
        <v>207.56</v>
      </c>
      <c r="L54" s="286">
        <f t="shared" si="3"/>
        <v>66.25170399970727</v>
      </c>
      <c r="M54" s="287">
        <f t="shared" si="10"/>
        <v>13751.203682179243</v>
      </c>
      <c r="N54" s="288">
        <f t="shared" si="11"/>
        <v>1</v>
      </c>
      <c r="O54" s="169"/>
      <c r="P54" s="169">
        <v>207.56</v>
      </c>
      <c r="Q54" s="169">
        <v>0</v>
      </c>
      <c r="R54" s="169">
        <f t="shared" si="0"/>
        <v>207.56</v>
      </c>
      <c r="S54" s="169">
        <f t="shared" si="1"/>
        <v>13751.203682179243</v>
      </c>
      <c r="T54" s="169"/>
      <c r="U54" s="124"/>
      <c r="V54" s="46"/>
      <c r="W54" s="11"/>
    </row>
    <row r="55" spans="1:23" ht="12.75">
      <c r="A55" s="256" t="s">
        <v>415</v>
      </c>
      <c r="B55" s="256" t="s">
        <v>295</v>
      </c>
      <c r="C55" s="257" t="s">
        <v>174</v>
      </c>
      <c r="D55" s="258" t="s">
        <v>249</v>
      </c>
      <c r="E55" s="256" t="s">
        <v>276</v>
      </c>
      <c r="F55" s="259">
        <f>'[1]MEMÓRIA CÁLCULO'!J173</f>
        <v>37.870000000000005</v>
      </c>
      <c r="G55" s="260">
        <v>41.31</v>
      </c>
      <c r="H55" s="259">
        <f t="shared" si="8"/>
        <v>1564.4097000000004</v>
      </c>
      <c r="I55" s="259">
        <f>(G55*J19)+G55</f>
        <v>51.24242449406305</v>
      </c>
      <c r="J55" s="262">
        <f t="shared" si="9"/>
        <v>1940.550615590168</v>
      </c>
      <c r="K55" s="285">
        <f t="shared" si="2"/>
        <v>37.870000000000005</v>
      </c>
      <c r="L55" s="286">
        <f t="shared" si="3"/>
        <v>51.24242449406305</v>
      </c>
      <c r="M55" s="287">
        <f t="shared" si="10"/>
        <v>1940.550615590168</v>
      </c>
      <c r="N55" s="288">
        <f t="shared" si="11"/>
        <v>1</v>
      </c>
      <c r="O55" s="169"/>
      <c r="P55" s="169">
        <v>37.87</v>
      </c>
      <c r="Q55" s="169">
        <v>0</v>
      </c>
      <c r="R55" s="169">
        <f aca="true" t="shared" si="12" ref="R55:R86">P55-Q55</f>
        <v>37.87</v>
      </c>
      <c r="S55" s="169">
        <f aca="true" t="shared" si="13" ref="S55:S86">R55*I55</f>
        <v>1940.5506155901676</v>
      </c>
      <c r="T55" s="169"/>
      <c r="U55" s="124"/>
      <c r="V55" s="46"/>
      <c r="W55" s="11"/>
    </row>
    <row r="56" spans="1:23" ht="12.75">
      <c r="A56" s="256" t="s">
        <v>246</v>
      </c>
      <c r="B56" s="256" t="s">
        <v>295</v>
      </c>
      <c r="C56" s="257">
        <v>9691</v>
      </c>
      <c r="D56" s="258" t="s">
        <v>547</v>
      </c>
      <c r="E56" s="256" t="s">
        <v>276</v>
      </c>
      <c r="F56" s="259">
        <f>'[1]MEMÓRIA CÁLCULO'!J163+'[1]MEMÓRIA CÁLCULO'!J164</f>
        <v>52.169999999999995</v>
      </c>
      <c r="G56" s="260">
        <v>53.41</v>
      </c>
      <c r="H56" s="259">
        <f t="shared" si="8"/>
        <v>2786.3996999999995</v>
      </c>
      <c r="I56" s="259">
        <f>(G56*J19)+G56</f>
        <v>66.25170399970727</v>
      </c>
      <c r="J56" s="262">
        <f t="shared" si="9"/>
        <v>3456.351397664728</v>
      </c>
      <c r="K56" s="285">
        <f t="shared" si="2"/>
        <v>52.169999999999995</v>
      </c>
      <c r="L56" s="286">
        <f t="shared" si="3"/>
        <v>66.25170399970727</v>
      </c>
      <c r="M56" s="287">
        <f t="shared" si="10"/>
        <v>3456.351397664728</v>
      </c>
      <c r="N56" s="288">
        <f t="shared" si="11"/>
        <v>1</v>
      </c>
      <c r="O56" s="169"/>
      <c r="P56" s="169">
        <v>52.17</v>
      </c>
      <c r="Q56" s="169">
        <v>0</v>
      </c>
      <c r="R56" s="169">
        <f t="shared" si="12"/>
        <v>52.17</v>
      </c>
      <c r="S56" s="169">
        <f t="shared" si="13"/>
        <v>3456.3513976647287</v>
      </c>
      <c r="T56" s="169"/>
      <c r="U56" s="124"/>
      <c r="V56" s="46"/>
      <c r="W56" s="11"/>
    </row>
    <row r="57" spans="1:23" ht="12.75">
      <c r="A57" s="256" t="s">
        <v>247</v>
      </c>
      <c r="B57" s="256" t="s">
        <v>295</v>
      </c>
      <c r="C57" s="257" t="s">
        <v>304</v>
      </c>
      <c r="D57" s="258" t="s">
        <v>70</v>
      </c>
      <c r="E57" s="256" t="s">
        <v>278</v>
      </c>
      <c r="F57" s="259">
        <f>'[1]MEMÓRIA CÁLCULO'!J177</f>
        <v>172.1</v>
      </c>
      <c r="G57" s="260">
        <v>7.19</v>
      </c>
      <c r="H57" s="259">
        <f t="shared" si="8"/>
        <v>1237.3990000000001</v>
      </c>
      <c r="I57" s="259">
        <f>(G57*J19)+G57</f>
        <v>8.918737160791899</v>
      </c>
      <c r="J57" s="262">
        <f t="shared" si="9"/>
        <v>1534.9146653722858</v>
      </c>
      <c r="K57" s="285">
        <f t="shared" si="2"/>
        <v>172.1</v>
      </c>
      <c r="L57" s="286">
        <f t="shared" si="3"/>
        <v>8.918737160791899</v>
      </c>
      <c r="M57" s="287">
        <f t="shared" si="10"/>
        <v>1534.9146653722858</v>
      </c>
      <c r="N57" s="288">
        <f t="shared" si="11"/>
        <v>1</v>
      </c>
      <c r="O57" s="169"/>
      <c r="P57" s="169">
        <v>172.1</v>
      </c>
      <c r="Q57" s="169">
        <v>0</v>
      </c>
      <c r="R57" s="169">
        <f t="shared" si="12"/>
        <v>172.1</v>
      </c>
      <c r="S57" s="169">
        <f t="shared" si="13"/>
        <v>1534.9146653722858</v>
      </c>
      <c r="T57" s="169"/>
      <c r="U57" s="124"/>
      <c r="V57" s="46"/>
      <c r="W57" s="11"/>
    </row>
    <row r="58" spans="1:23" ht="12.75">
      <c r="A58" s="263" t="s">
        <v>248</v>
      </c>
      <c r="B58" s="263" t="s">
        <v>295</v>
      </c>
      <c r="C58" s="264">
        <v>73655</v>
      </c>
      <c r="D58" s="265" t="s">
        <v>628</v>
      </c>
      <c r="E58" s="263" t="s">
        <v>276</v>
      </c>
      <c r="F58" s="266">
        <f>'[1]MEMÓRIA CÁLCULO'!J175</f>
        <v>49.36</v>
      </c>
      <c r="G58" s="275">
        <v>96.54</v>
      </c>
      <c r="H58" s="266">
        <f t="shared" si="8"/>
        <v>4765.2144</v>
      </c>
      <c r="I58" s="266">
        <f>(G58*J19)+G58</f>
        <v>119.75172260123087</v>
      </c>
      <c r="J58" s="269">
        <f t="shared" si="9"/>
        <v>5910.945027596756</v>
      </c>
      <c r="K58" s="289">
        <f t="shared" si="2"/>
        <v>49.36</v>
      </c>
      <c r="L58" s="290">
        <f t="shared" si="3"/>
        <v>119.75172260123087</v>
      </c>
      <c r="M58" s="291">
        <f t="shared" si="10"/>
        <v>5910.945027596756</v>
      </c>
      <c r="N58" s="292">
        <f t="shared" si="11"/>
        <v>1</v>
      </c>
      <c r="O58" s="169"/>
      <c r="P58" s="169">
        <v>49.36</v>
      </c>
      <c r="Q58" s="169">
        <v>0</v>
      </c>
      <c r="R58" s="169">
        <f t="shared" si="12"/>
        <v>49.36</v>
      </c>
      <c r="S58" s="169">
        <f t="shared" si="13"/>
        <v>5910.945027596756</v>
      </c>
      <c r="T58" s="169"/>
      <c r="U58" s="124"/>
      <c r="V58" s="46"/>
      <c r="W58" s="11"/>
    </row>
    <row r="59" spans="1:23" ht="12.75">
      <c r="A59" s="202" t="s">
        <v>564</v>
      </c>
      <c r="B59" s="202" t="s">
        <v>295</v>
      </c>
      <c r="C59" s="203">
        <v>72182</v>
      </c>
      <c r="D59" s="204" t="s">
        <v>569</v>
      </c>
      <c r="E59" s="202" t="s">
        <v>276</v>
      </c>
      <c r="F59" s="172">
        <f>'[1]MEMÓRIA CÁLCULO'!J340</f>
        <v>37.999</v>
      </c>
      <c r="G59" s="173">
        <v>32.87</v>
      </c>
      <c r="H59" s="172">
        <f t="shared" si="8"/>
        <v>1249.02713</v>
      </c>
      <c r="I59" s="172">
        <f>(G59*J19)+G59</f>
        <v>40.77314192979551</v>
      </c>
      <c r="J59" s="233">
        <f t="shared" si="9"/>
        <v>1549.3386201902995</v>
      </c>
      <c r="K59" s="237">
        <f t="shared" si="2"/>
        <v>37.999</v>
      </c>
      <c r="L59" s="238">
        <f t="shared" si="3"/>
        <v>40.77314192979551</v>
      </c>
      <c r="M59" s="236">
        <f t="shared" si="10"/>
        <v>1549.3386201902995</v>
      </c>
      <c r="N59" s="239">
        <f t="shared" si="11"/>
        <v>1</v>
      </c>
      <c r="O59" s="169"/>
      <c r="P59" s="169">
        <v>37.999</v>
      </c>
      <c r="Q59" s="169">
        <v>0</v>
      </c>
      <c r="R59" s="169">
        <f t="shared" si="12"/>
        <v>37.999</v>
      </c>
      <c r="S59" s="169">
        <f t="shared" si="13"/>
        <v>1549.3386201902995</v>
      </c>
      <c r="T59" s="169"/>
      <c r="U59" s="124"/>
      <c r="V59" s="46"/>
      <c r="W59" s="11"/>
    </row>
    <row r="60" spans="1:23" ht="12.75">
      <c r="A60" s="198" t="s">
        <v>101</v>
      </c>
      <c r="B60" s="205"/>
      <c r="C60" s="205"/>
      <c r="D60" s="199" t="s">
        <v>265</v>
      </c>
      <c r="E60" s="202"/>
      <c r="F60" s="172"/>
      <c r="G60" s="172"/>
      <c r="H60" s="172"/>
      <c r="I60" s="172"/>
      <c r="J60" s="232">
        <f>SUM(J61:J67)</f>
        <v>25986.85417337395</v>
      </c>
      <c r="K60" s="237">
        <f t="shared" si="2"/>
        <v>0</v>
      </c>
      <c r="L60" s="238">
        <f t="shared" si="3"/>
        <v>0</v>
      </c>
      <c r="M60" s="235">
        <f>SUM(M61:M67)</f>
        <v>25986.85417337395</v>
      </c>
      <c r="N60" s="239"/>
      <c r="O60" s="168"/>
      <c r="P60" s="169"/>
      <c r="Q60" s="168">
        <v>0</v>
      </c>
      <c r="R60" s="169">
        <f t="shared" si="12"/>
        <v>0</v>
      </c>
      <c r="S60" s="169">
        <f t="shared" si="13"/>
        <v>0</v>
      </c>
      <c r="T60" s="168"/>
      <c r="U60" s="124">
        <f>J60</f>
        <v>25986.85417337395</v>
      </c>
      <c r="V60" s="46"/>
      <c r="W60" s="11"/>
    </row>
    <row r="61" spans="1:24" ht="12.75">
      <c r="A61" s="250" t="s">
        <v>416</v>
      </c>
      <c r="B61" s="250" t="s">
        <v>295</v>
      </c>
      <c r="C61" s="251" t="s">
        <v>74</v>
      </c>
      <c r="D61" s="252" t="s">
        <v>75</v>
      </c>
      <c r="E61" s="250" t="s">
        <v>279</v>
      </c>
      <c r="F61" s="270">
        <v>1</v>
      </c>
      <c r="G61" s="271">
        <v>340.25</v>
      </c>
      <c r="H61" s="270">
        <f aca="true" t="shared" si="14" ref="H61:H67">F61*G61</f>
        <v>340.25</v>
      </c>
      <c r="I61" s="270">
        <f>(G61*J19)+G61</f>
        <v>422.05845882607</v>
      </c>
      <c r="J61" s="255">
        <f>I61*F61</f>
        <v>422.05845882607</v>
      </c>
      <c r="K61" s="281">
        <f t="shared" si="2"/>
        <v>1</v>
      </c>
      <c r="L61" s="282">
        <f t="shared" si="3"/>
        <v>422.05845882607</v>
      </c>
      <c r="M61" s="283">
        <f aca="true" t="shared" si="15" ref="M61:M67">K61*L61</f>
        <v>422.05845882607</v>
      </c>
      <c r="N61" s="284">
        <f aca="true" t="shared" si="16" ref="N61:N67">K61/F61</f>
        <v>1</v>
      </c>
      <c r="O61" s="169"/>
      <c r="P61" s="169">
        <v>1</v>
      </c>
      <c r="Q61" s="169">
        <v>0</v>
      </c>
      <c r="R61" s="169">
        <f t="shared" si="12"/>
        <v>1</v>
      </c>
      <c r="S61" s="169">
        <f t="shared" si="13"/>
        <v>422.05845882607</v>
      </c>
      <c r="T61" s="169"/>
      <c r="U61" s="124"/>
      <c r="V61" s="46"/>
      <c r="W61" s="11"/>
      <c r="X61" s="8"/>
    </row>
    <row r="62" spans="1:24" ht="12.75">
      <c r="A62" s="256" t="s">
        <v>417</v>
      </c>
      <c r="B62" s="256" t="s">
        <v>295</v>
      </c>
      <c r="C62" s="257" t="s">
        <v>99</v>
      </c>
      <c r="D62" s="258" t="s">
        <v>97</v>
      </c>
      <c r="E62" s="256" t="s">
        <v>279</v>
      </c>
      <c r="F62" s="259">
        <f>'[1]MEMÓRIA CÁLCULO'!J192</f>
        <v>4</v>
      </c>
      <c r="G62" s="260">
        <v>302.2</v>
      </c>
      <c r="H62" s="259">
        <f t="shared" si="14"/>
        <v>1208.8</v>
      </c>
      <c r="I62" s="259">
        <f>(G62*J19)+G62</f>
        <v>374.85985674427144</v>
      </c>
      <c r="J62" s="262">
        <f>I62*F62</f>
        <v>1499.4394269770858</v>
      </c>
      <c r="K62" s="285">
        <f t="shared" si="2"/>
        <v>4</v>
      </c>
      <c r="L62" s="286">
        <f t="shared" si="3"/>
        <v>374.85985674427144</v>
      </c>
      <c r="M62" s="287">
        <f t="shared" si="15"/>
        <v>1499.4394269770858</v>
      </c>
      <c r="N62" s="288">
        <f t="shared" si="16"/>
        <v>1</v>
      </c>
      <c r="O62" s="169"/>
      <c r="P62" s="169">
        <v>4</v>
      </c>
      <c r="Q62" s="169">
        <v>0</v>
      </c>
      <c r="R62" s="169">
        <f t="shared" si="12"/>
        <v>4</v>
      </c>
      <c r="S62" s="169">
        <f t="shared" si="13"/>
        <v>1499.4394269770858</v>
      </c>
      <c r="T62" s="169"/>
      <c r="U62" s="124"/>
      <c r="V62" s="46"/>
      <c r="W62" s="11"/>
      <c r="X62" s="8"/>
    </row>
    <row r="63" spans="1:24" ht="12.75">
      <c r="A63" s="256" t="s">
        <v>418</v>
      </c>
      <c r="B63" s="256" t="s">
        <v>295</v>
      </c>
      <c r="C63" s="257" t="s">
        <v>175</v>
      </c>
      <c r="D63" s="258" t="s">
        <v>98</v>
      </c>
      <c r="E63" s="256" t="s">
        <v>279</v>
      </c>
      <c r="F63" s="259">
        <f>'[1]MEMÓRIA CÁLCULO'!J193</f>
        <v>2</v>
      </c>
      <c r="G63" s="260">
        <v>220.03</v>
      </c>
      <c r="H63" s="259">
        <f t="shared" si="14"/>
        <v>440.06</v>
      </c>
      <c r="I63" s="259">
        <f>(G63*J19)+G63</f>
        <v>272.9332041013966</v>
      </c>
      <c r="J63" s="262">
        <f>I63*F63</f>
        <v>545.8664082027932</v>
      </c>
      <c r="K63" s="285">
        <f t="shared" si="2"/>
        <v>2</v>
      </c>
      <c r="L63" s="286">
        <f t="shared" si="3"/>
        <v>272.9332041013966</v>
      </c>
      <c r="M63" s="287">
        <f t="shared" si="15"/>
        <v>545.8664082027932</v>
      </c>
      <c r="N63" s="288">
        <f t="shared" si="16"/>
        <v>1</v>
      </c>
      <c r="O63" s="169"/>
      <c r="P63" s="169">
        <v>2</v>
      </c>
      <c r="Q63" s="169">
        <v>0</v>
      </c>
      <c r="R63" s="169">
        <f t="shared" si="12"/>
        <v>2</v>
      </c>
      <c r="S63" s="169">
        <f t="shared" si="13"/>
        <v>545.8664082027932</v>
      </c>
      <c r="T63" s="169"/>
      <c r="U63" s="124"/>
      <c r="V63" s="46"/>
      <c r="W63" s="11"/>
      <c r="X63" s="8"/>
    </row>
    <row r="64" spans="1:24" ht="15" customHeight="1">
      <c r="A64" s="256" t="s">
        <v>102</v>
      </c>
      <c r="B64" s="256"/>
      <c r="C64" s="256" t="s">
        <v>597</v>
      </c>
      <c r="D64" s="258" t="s">
        <v>555</v>
      </c>
      <c r="E64" s="256" t="s">
        <v>276</v>
      </c>
      <c r="F64" s="259">
        <f>'[1]MEMÓRIA CÁLCULO'!F190</f>
        <v>32.48</v>
      </c>
      <c r="G64" s="260">
        <v>105</v>
      </c>
      <c r="H64" s="259">
        <f t="shared" si="14"/>
        <v>3410.3999999999996</v>
      </c>
      <c r="I64" s="259">
        <f>(G64*J19)+G64</f>
        <v>130.24581389195401</v>
      </c>
      <c r="J64" s="262">
        <f>I64*F64</f>
        <v>4230.384035210666</v>
      </c>
      <c r="K64" s="285">
        <f t="shared" si="2"/>
        <v>32.48</v>
      </c>
      <c r="L64" s="286">
        <f t="shared" si="3"/>
        <v>130.24581389195401</v>
      </c>
      <c r="M64" s="287">
        <f t="shared" si="15"/>
        <v>4230.384035210666</v>
      </c>
      <c r="N64" s="288">
        <f t="shared" si="16"/>
        <v>1</v>
      </c>
      <c r="O64" s="169"/>
      <c r="P64" s="169">
        <v>32.48</v>
      </c>
      <c r="Q64" s="169">
        <v>0</v>
      </c>
      <c r="R64" s="169">
        <f t="shared" si="12"/>
        <v>32.48</v>
      </c>
      <c r="S64" s="169">
        <f t="shared" si="13"/>
        <v>4230.384035210666</v>
      </c>
      <c r="T64" s="169"/>
      <c r="U64" s="124"/>
      <c r="V64" s="46"/>
      <c r="W64" s="11"/>
      <c r="X64" s="8"/>
    </row>
    <row r="65" spans="1:24" ht="24" customHeight="1">
      <c r="A65" s="256" t="s">
        <v>103</v>
      </c>
      <c r="B65" s="256" t="s">
        <v>294</v>
      </c>
      <c r="C65" s="257" t="s">
        <v>308</v>
      </c>
      <c r="D65" s="258" t="s">
        <v>458</v>
      </c>
      <c r="E65" s="256" t="s">
        <v>279</v>
      </c>
      <c r="F65" s="259">
        <f>'[1]MEMÓRIA CÁLCULO'!J218</f>
        <v>8</v>
      </c>
      <c r="G65" s="260">
        <v>280.2</v>
      </c>
      <c r="H65" s="259">
        <f t="shared" si="14"/>
        <v>2241.6</v>
      </c>
      <c r="I65" s="259">
        <f>(G65*J19)+G65</f>
        <v>347.57025764310015</v>
      </c>
      <c r="J65" s="262">
        <f>I65*F65</f>
        <v>2780.562061144801</v>
      </c>
      <c r="K65" s="285">
        <f t="shared" si="2"/>
        <v>8</v>
      </c>
      <c r="L65" s="286">
        <f t="shared" si="3"/>
        <v>347.57025764310015</v>
      </c>
      <c r="M65" s="287">
        <f t="shared" si="15"/>
        <v>2780.562061144801</v>
      </c>
      <c r="N65" s="288">
        <f t="shared" si="16"/>
        <v>1</v>
      </c>
      <c r="O65" s="169"/>
      <c r="P65" s="169">
        <v>8</v>
      </c>
      <c r="Q65" s="169">
        <v>0</v>
      </c>
      <c r="R65" s="169">
        <f t="shared" si="12"/>
        <v>8</v>
      </c>
      <c r="S65" s="169">
        <f t="shared" si="13"/>
        <v>2780.562061144801</v>
      </c>
      <c r="T65" s="169"/>
      <c r="U65" s="124"/>
      <c r="V65" s="46"/>
      <c r="W65" s="11"/>
      <c r="X65" s="8"/>
    </row>
    <row r="66" spans="1:24" ht="12.75">
      <c r="A66" s="256" t="s">
        <v>550</v>
      </c>
      <c r="B66" s="256" t="s">
        <v>294</v>
      </c>
      <c r="C66" s="257" t="s">
        <v>549</v>
      </c>
      <c r="D66" s="258" t="s">
        <v>587</v>
      </c>
      <c r="E66" s="256" t="s">
        <v>276</v>
      </c>
      <c r="F66" s="259">
        <f>'[1]MEMÓRIA CÁLCULO'!E201</f>
        <v>51.54</v>
      </c>
      <c r="G66" s="260">
        <v>200.84</v>
      </c>
      <c r="H66" s="259">
        <f t="shared" si="14"/>
        <v>10351.2936</v>
      </c>
      <c r="I66" s="259">
        <f>(G66*J19)+G66</f>
        <v>249.12923106723852</v>
      </c>
      <c r="J66" s="262">
        <f>F66*I66</f>
        <v>12840.120569205474</v>
      </c>
      <c r="K66" s="285">
        <f t="shared" si="2"/>
        <v>51.54</v>
      </c>
      <c r="L66" s="286">
        <f t="shared" si="3"/>
        <v>249.12923106723852</v>
      </c>
      <c r="M66" s="287">
        <f t="shared" si="15"/>
        <v>12840.120569205474</v>
      </c>
      <c r="N66" s="288">
        <f t="shared" si="16"/>
        <v>1</v>
      </c>
      <c r="O66" s="169"/>
      <c r="P66" s="169">
        <v>51.54</v>
      </c>
      <c r="Q66" s="169">
        <v>0</v>
      </c>
      <c r="R66" s="169">
        <f t="shared" si="12"/>
        <v>51.54</v>
      </c>
      <c r="S66" s="169">
        <f t="shared" si="13"/>
        <v>12840.120569205474</v>
      </c>
      <c r="T66" s="169"/>
      <c r="U66" s="124"/>
      <c r="V66" s="46"/>
      <c r="W66" s="11"/>
      <c r="X66" s="8"/>
    </row>
    <row r="67" spans="1:24" ht="12.75">
      <c r="A67" s="263" t="s">
        <v>551</v>
      </c>
      <c r="B67" s="263" t="s">
        <v>295</v>
      </c>
      <c r="C67" s="264">
        <v>72117</v>
      </c>
      <c r="D67" s="265" t="s">
        <v>554</v>
      </c>
      <c r="E67" s="263" t="s">
        <v>276</v>
      </c>
      <c r="F67" s="266">
        <f>F66</f>
        <v>51.54</v>
      </c>
      <c r="G67" s="275">
        <v>57.38</v>
      </c>
      <c r="H67" s="266">
        <f t="shared" si="14"/>
        <v>2957.3652</v>
      </c>
      <c r="I67" s="266">
        <f>(G67*J19)+G67</f>
        <v>71.17623620114593</v>
      </c>
      <c r="J67" s="269">
        <f>F67*I67</f>
        <v>3668.423213807061</v>
      </c>
      <c r="K67" s="289">
        <f t="shared" si="2"/>
        <v>51.54</v>
      </c>
      <c r="L67" s="290">
        <f t="shared" si="3"/>
        <v>71.17623620114593</v>
      </c>
      <c r="M67" s="291">
        <f t="shared" si="15"/>
        <v>3668.423213807061</v>
      </c>
      <c r="N67" s="292">
        <f t="shared" si="16"/>
        <v>1</v>
      </c>
      <c r="O67" s="169"/>
      <c r="P67" s="169">
        <v>51.54</v>
      </c>
      <c r="Q67" s="169">
        <v>0</v>
      </c>
      <c r="R67" s="169">
        <f t="shared" si="12"/>
        <v>51.54</v>
      </c>
      <c r="S67" s="169">
        <f t="shared" si="13"/>
        <v>3668.423213807061</v>
      </c>
      <c r="T67" s="169"/>
      <c r="U67" s="124"/>
      <c r="V67" s="46"/>
      <c r="W67" s="11"/>
      <c r="X67" s="8"/>
    </row>
    <row r="68" spans="1:24" ht="12.75">
      <c r="A68" s="198" t="s">
        <v>160</v>
      </c>
      <c r="B68" s="205"/>
      <c r="C68" s="205"/>
      <c r="D68" s="199" t="s">
        <v>266</v>
      </c>
      <c r="E68" s="202"/>
      <c r="F68" s="172"/>
      <c r="G68" s="172"/>
      <c r="H68" s="172"/>
      <c r="I68" s="172"/>
      <c r="J68" s="232">
        <f>SUM(J69:J71)</f>
        <v>73835.22478528842</v>
      </c>
      <c r="K68" s="237">
        <f t="shared" si="2"/>
        <v>0</v>
      </c>
      <c r="L68" s="238">
        <f t="shared" si="3"/>
        <v>0</v>
      </c>
      <c r="M68" s="235">
        <f>SUM(M69:M71)</f>
        <v>73835.22478528842</v>
      </c>
      <c r="N68" s="239"/>
      <c r="O68" s="168"/>
      <c r="P68" s="169"/>
      <c r="Q68" s="168">
        <v>0</v>
      </c>
      <c r="R68" s="169">
        <f t="shared" si="12"/>
        <v>0</v>
      </c>
      <c r="S68" s="169">
        <f t="shared" si="13"/>
        <v>0</v>
      </c>
      <c r="T68" s="168"/>
      <c r="U68" s="124">
        <f>J68</f>
        <v>73835.22478528842</v>
      </c>
      <c r="V68" s="46"/>
      <c r="W68" s="11"/>
      <c r="X68" s="8">
        <v>265.68</v>
      </c>
    </row>
    <row r="69" spans="1:24" ht="22.5">
      <c r="A69" s="250" t="s">
        <v>419</v>
      </c>
      <c r="B69" s="250" t="s">
        <v>294</v>
      </c>
      <c r="C69" s="251" t="s">
        <v>567</v>
      </c>
      <c r="D69" s="252" t="s">
        <v>568</v>
      </c>
      <c r="E69" s="250" t="s">
        <v>276</v>
      </c>
      <c r="F69" s="270">
        <f>'[1]MEMÓRIA CÁLCULO'!J181</f>
        <v>338.444</v>
      </c>
      <c r="G69" s="271">
        <v>59.5</v>
      </c>
      <c r="H69" s="270">
        <f>F69*G69</f>
        <v>20137.418</v>
      </c>
      <c r="I69" s="270">
        <f>(G69*J19)+G69</f>
        <v>73.80596120544061</v>
      </c>
      <c r="J69" s="255">
        <f>I69*F69</f>
        <v>24979.184734214145</v>
      </c>
      <c r="K69" s="281">
        <f t="shared" si="2"/>
        <v>338.444</v>
      </c>
      <c r="L69" s="282">
        <f t="shared" si="3"/>
        <v>73.80596120544061</v>
      </c>
      <c r="M69" s="283">
        <f>K69*L69</f>
        <v>24979.184734214145</v>
      </c>
      <c r="N69" s="284">
        <f>K69/F69</f>
        <v>1</v>
      </c>
      <c r="O69" s="169"/>
      <c r="P69" s="169">
        <v>338.444</v>
      </c>
      <c r="Q69" s="169">
        <v>0</v>
      </c>
      <c r="R69" s="169">
        <f t="shared" si="12"/>
        <v>338.444</v>
      </c>
      <c r="S69" s="169">
        <f t="shared" si="13"/>
        <v>24979.184734214145</v>
      </c>
      <c r="T69" s="169"/>
      <c r="U69" s="124"/>
      <c r="V69" s="46"/>
      <c r="W69" s="11"/>
      <c r="X69" s="8"/>
    </row>
    <row r="70" spans="1:24" ht="15" customHeight="1">
      <c r="A70" s="256" t="s">
        <v>420</v>
      </c>
      <c r="B70" s="256" t="s">
        <v>294</v>
      </c>
      <c r="C70" s="257" t="s">
        <v>588</v>
      </c>
      <c r="D70" s="258" t="s">
        <v>589</v>
      </c>
      <c r="E70" s="256" t="s">
        <v>276</v>
      </c>
      <c r="F70" s="259">
        <f>F69</f>
        <v>338.444</v>
      </c>
      <c r="G70" s="260">
        <v>91.94</v>
      </c>
      <c r="H70" s="259">
        <f>F70*G70</f>
        <v>31116.54136</v>
      </c>
      <c r="I70" s="259">
        <f>(G70*J19)+G70</f>
        <v>114.0457155164405</v>
      </c>
      <c r="J70" s="262">
        <f>I70*F70</f>
        <v>38598.08814224619</v>
      </c>
      <c r="K70" s="285">
        <f aca="true" t="shared" si="17" ref="K70:K101">F70-Q70</f>
        <v>338.444</v>
      </c>
      <c r="L70" s="286">
        <f aca="true" t="shared" si="18" ref="L70:L101">(G70*J$19)+G70</f>
        <v>114.0457155164405</v>
      </c>
      <c r="M70" s="287">
        <f>K70*L70</f>
        <v>38598.08814224619</v>
      </c>
      <c r="N70" s="288">
        <f>K70/F70</f>
        <v>1</v>
      </c>
      <c r="O70" s="169"/>
      <c r="P70" s="169">
        <v>338.444</v>
      </c>
      <c r="Q70" s="169">
        <v>0</v>
      </c>
      <c r="R70" s="169">
        <f t="shared" si="12"/>
        <v>338.444</v>
      </c>
      <c r="S70" s="169">
        <f t="shared" si="13"/>
        <v>38598.08814224619</v>
      </c>
      <c r="T70" s="169"/>
      <c r="U70" s="124"/>
      <c r="V70" s="11"/>
      <c r="W70" s="11"/>
      <c r="X70" s="8"/>
    </row>
    <row r="71" spans="1:24" ht="24" customHeight="1">
      <c r="A71" s="263" t="s">
        <v>421</v>
      </c>
      <c r="B71" s="263" t="s">
        <v>295</v>
      </c>
      <c r="C71" s="264" t="s">
        <v>170</v>
      </c>
      <c r="D71" s="265" t="s">
        <v>681</v>
      </c>
      <c r="E71" s="263" t="s">
        <v>276</v>
      </c>
      <c r="F71" s="266">
        <f>'[1]MEMÓRIA CÁLCULO'!J86</f>
        <v>156.8</v>
      </c>
      <c r="G71" s="275">
        <v>52.74</v>
      </c>
      <c r="H71" s="266">
        <f>F71*G71</f>
        <v>8269.632000000001</v>
      </c>
      <c r="I71" s="266">
        <f>(G71*J19)+G71</f>
        <v>65.42061166344433</v>
      </c>
      <c r="J71" s="269">
        <f>I71*F71</f>
        <v>10257.951908828072</v>
      </c>
      <c r="K71" s="289">
        <f t="shared" si="17"/>
        <v>156.8</v>
      </c>
      <c r="L71" s="290">
        <f t="shared" si="18"/>
        <v>65.42061166344433</v>
      </c>
      <c r="M71" s="291">
        <f>K71*L71</f>
        <v>10257.951908828072</v>
      </c>
      <c r="N71" s="292">
        <f>K71/F71</f>
        <v>1</v>
      </c>
      <c r="O71" s="169"/>
      <c r="P71" s="169">
        <v>156.8</v>
      </c>
      <c r="Q71" s="169">
        <v>0</v>
      </c>
      <c r="R71" s="169">
        <f t="shared" si="12"/>
        <v>156.8</v>
      </c>
      <c r="S71" s="169">
        <f t="shared" si="13"/>
        <v>10257.951908828072</v>
      </c>
      <c r="T71" s="169"/>
      <c r="U71" s="124"/>
      <c r="V71" s="11"/>
      <c r="W71" s="11"/>
      <c r="X71" s="8"/>
    </row>
    <row r="72" spans="1:21" ht="12.75">
      <c r="A72" s="198" t="s">
        <v>387</v>
      </c>
      <c r="B72" s="202"/>
      <c r="C72" s="205"/>
      <c r="D72" s="199" t="s">
        <v>327</v>
      </c>
      <c r="E72" s="202"/>
      <c r="F72" s="172"/>
      <c r="G72" s="172"/>
      <c r="H72" s="172"/>
      <c r="I72" s="172"/>
      <c r="J72" s="232">
        <f>SUM(J73:J86)</f>
        <v>3992.364772068411</v>
      </c>
      <c r="K72" s="237">
        <f t="shared" si="17"/>
        <v>0</v>
      </c>
      <c r="L72" s="238">
        <f t="shared" si="18"/>
        <v>0</v>
      </c>
      <c r="M72" s="235">
        <f>SUM(M73:M86)</f>
        <v>3992.364772068411</v>
      </c>
      <c r="N72" s="239"/>
      <c r="O72" s="168"/>
      <c r="P72" s="169"/>
      <c r="Q72" s="168">
        <v>0</v>
      </c>
      <c r="R72" s="169">
        <f t="shared" si="12"/>
        <v>0</v>
      </c>
      <c r="S72" s="169">
        <f t="shared" si="13"/>
        <v>0</v>
      </c>
      <c r="T72" s="168"/>
      <c r="U72" s="124">
        <f>J72</f>
        <v>3992.364772068411</v>
      </c>
    </row>
    <row r="73" spans="1:24" ht="15" customHeight="1">
      <c r="A73" s="250" t="s">
        <v>422</v>
      </c>
      <c r="B73" s="250" t="s">
        <v>295</v>
      </c>
      <c r="C73" s="251" t="s">
        <v>176</v>
      </c>
      <c r="D73" s="293" t="s">
        <v>454</v>
      </c>
      <c r="E73" s="294" t="s">
        <v>278</v>
      </c>
      <c r="F73" s="295">
        <f>'[1]MEMÓRIA CÁLCULO'!J238</f>
        <v>99.7</v>
      </c>
      <c r="G73" s="271">
        <v>9.07</v>
      </c>
      <c r="H73" s="270">
        <f aca="true" t="shared" si="19" ref="H73:H86">F73*G73</f>
        <v>904.2790000000001</v>
      </c>
      <c r="I73" s="270">
        <f>(G73*J19)+G73</f>
        <v>11.250757447619266</v>
      </c>
      <c r="J73" s="255">
        <f aca="true" t="shared" si="20" ref="J73:J86">F73*I73</f>
        <v>1121.7005175276408</v>
      </c>
      <c r="K73" s="281">
        <f t="shared" si="17"/>
        <v>99.7</v>
      </c>
      <c r="L73" s="282">
        <f t="shared" si="18"/>
        <v>11.250757447619266</v>
      </c>
      <c r="M73" s="283">
        <f aca="true" t="shared" si="21" ref="M73:M86">K73*L73</f>
        <v>1121.7005175276408</v>
      </c>
      <c r="N73" s="284">
        <f aca="true" t="shared" si="22" ref="N73:N86">K73/F73</f>
        <v>1</v>
      </c>
      <c r="O73" s="169"/>
      <c r="P73" s="170">
        <v>99.7</v>
      </c>
      <c r="Q73" s="169">
        <v>0</v>
      </c>
      <c r="R73" s="169">
        <f t="shared" si="12"/>
        <v>99.7</v>
      </c>
      <c r="S73" s="169">
        <f t="shared" si="13"/>
        <v>1121.7005175276408</v>
      </c>
      <c r="T73" s="169"/>
      <c r="U73" s="124"/>
      <c r="X73" s="8"/>
    </row>
    <row r="74" spans="1:27" ht="15" customHeight="1">
      <c r="A74" s="256" t="s">
        <v>423</v>
      </c>
      <c r="B74" s="256" t="s">
        <v>295</v>
      </c>
      <c r="C74" s="296" t="s">
        <v>670</v>
      </c>
      <c r="D74" s="297" t="s">
        <v>652</v>
      </c>
      <c r="E74" s="277" t="s">
        <v>278</v>
      </c>
      <c r="F74" s="278">
        <f>'[1]MEMÓRIA CÁLCULO'!J239</f>
        <v>78.25</v>
      </c>
      <c r="G74" s="260">
        <v>14.39</v>
      </c>
      <c r="H74" s="259">
        <f t="shared" si="19"/>
        <v>1126.0175000000002</v>
      </c>
      <c r="I74" s="259">
        <f>(G74*J19)+G74</f>
        <v>17.849878684811603</v>
      </c>
      <c r="J74" s="262">
        <f t="shared" si="20"/>
        <v>1396.753007086508</v>
      </c>
      <c r="K74" s="285">
        <f t="shared" si="17"/>
        <v>78.25</v>
      </c>
      <c r="L74" s="286">
        <f t="shared" si="18"/>
        <v>17.849878684811603</v>
      </c>
      <c r="M74" s="287">
        <f t="shared" si="21"/>
        <v>1396.753007086508</v>
      </c>
      <c r="N74" s="288">
        <f t="shared" si="22"/>
        <v>1</v>
      </c>
      <c r="O74" s="169"/>
      <c r="P74" s="170">
        <v>78.25</v>
      </c>
      <c r="Q74" s="169">
        <v>0</v>
      </c>
      <c r="R74" s="169">
        <f t="shared" si="12"/>
        <v>78.25</v>
      </c>
      <c r="S74" s="169">
        <f t="shared" si="13"/>
        <v>1396.753007086508</v>
      </c>
      <c r="T74" s="169"/>
      <c r="U74" s="124"/>
      <c r="X74" s="8"/>
      <c r="AA74" s="1"/>
    </row>
    <row r="75" spans="1:27" ht="15" customHeight="1">
      <c r="A75" s="256" t="s">
        <v>424</v>
      </c>
      <c r="B75" s="256" t="s">
        <v>295</v>
      </c>
      <c r="C75" s="272">
        <v>72438</v>
      </c>
      <c r="D75" s="279" t="s">
        <v>326</v>
      </c>
      <c r="E75" s="277" t="s">
        <v>309</v>
      </c>
      <c r="F75" s="278">
        <f>'[1]MEMÓRIA CÁLCULO'!J240</f>
        <v>6</v>
      </c>
      <c r="G75" s="260">
        <v>3.18</v>
      </c>
      <c r="H75" s="259">
        <f t="shared" si="19"/>
        <v>19.080000000000002</v>
      </c>
      <c r="I75" s="259">
        <f>(G75*J19)+G75</f>
        <v>3.944587506442036</v>
      </c>
      <c r="J75" s="262">
        <f t="shared" si="20"/>
        <v>23.667525038652215</v>
      </c>
      <c r="K75" s="285">
        <f t="shared" si="17"/>
        <v>6</v>
      </c>
      <c r="L75" s="286">
        <f t="shared" si="18"/>
        <v>3.944587506442036</v>
      </c>
      <c r="M75" s="287">
        <f t="shared" si="21"/>
        <v>23.667525038652215</v>
      </c>
      <c r="N75" s="288">
        <f t="shared" si="22"/>
        <v>1</v>
      </c>
      <c r="O75" s="169"/>
      <c r="P75" s="170">
        <v>6</v>
      </c>
      <c r="Q75" s="169">
        <v>0</v>
      </c>
      <c r="R75" s="169">
        <f t="shared" si="12"/>
        <v>6</v>
      </c>
      <c r="S75" s="169">
        <f t="shared" si="13"/>
        <v>23.667525038652215</v>
      </c>
      <c r="T75" s="169"/>
      <c r="U75" s="124"/>
      <c r="X75" s="8"/>
      <c r="AA75" s="1"/>
    </row>
    <row r="76" spans="1:27" ht="15" customHeight="1">
      <c r="A76" s="256" t="s">
        <v>425</v>
      </c>
      <c r="B76" s="256" t="s">
        <v>295</v>
      </c>
      <c r="C76" s="279">
        <v>72440</v>
      </c>
      <c r="D76" s="279" t="s">
        <v>669</v>
      </c>
      <c r="E76" s="277" t="s">
        <v>309</v>
      </c>
      <c r="F76" s="278">
        <f>'[1]MEMÓRIA CÁLCULO'!J241</f>
        <v>13</v>
      </c>
      <c r="G76" s="260">
        <v>5.24</v>
      </c>
      <c r="H76" s="259">
        <f t="shared" si="19"/>
        <v>68.12</v>
      </c>
      <c r="I76" s="259">
        <f>(G76*J19)+G76</f>
        <v>6.499886331369896</v>
      </c>
      <c r="J76" s="262">
        <f t="shared" si="20"/>
        <v>84.49852230780864</v>
      </c>
      <c r="K76" s="285">
        <f t="shared" si="17"/>
        <v>13</v>
      </c>
      <c r="L76" s="286">
        <f t="shared" si="18"/>
        <v>6.499886331369896</v>
      </c>
      <c r="M76" s="287">
        <f t="shared" si="21"/>
        <v>84.49852230780864</v>
      </c>
      <c r="N76" s="288">
        <f t="shared" si="22"/>
        <v>1</v>
      </c>
      <c r="O76" s="169"/>
      <c r="P76" s="170">
        <v>13</v>
      </c>
      <c r="Q76" s="169">
        <v>0</v>
      </c>
      <c r="R76" s="169">
        <f t="shared" si="12"/>
        <v>13</v>
      </c>
      <c r="S76" s="169">
        <f t="shared" si="13"/>
        <v>84.49852230780864</v>
      </c>
      <c r="T76" s="169"/>
      <c r="U76" s="124"/>
      <c r="X76" s="8"/>
      <c r="AA76" s="1"/>
    </row>
    <row r="77" spans="1:27" ht="15" customHeight="1">
      <c r="A77" s="256" t="s">
        <v>426</v>
      </c>
      <c r="B77" s="256" t="s">
        <v>295</v>
      </c>
      <c r="C77" s="272">
        <v>73638</v>
      </c>
      <c r="D77" s="279" t="s">
        <v>177</v>
      </c>
      <c r="E77" s="277" t="s">
        <v>309</v>
      </c>
      <c r="F77" s="278">
        <f>'[1]MEMÓRIA CÁLCULO'!J242</f>
        <v>5</v>
      </c>
      <c r="G77" s="260">
        <v>8.16</v>
      </c>
      <c r="H77" s="259">
        <f t="shared" si="19"/>
        <v>40.8</v>
      </c>
      <c r="I77" s="259">
        <f>(G77*J19)+G77</f>
        <v>10.121960393888997</v>
      </c>
      <c r="J77" s="262">
        <f t="shared" si="20"/>
        <v>50.60980196944499</v>
      </c>
      <c r="K77" s="285">
        <f t="shared" si="17"/>
        <v>5</v>
      </c>
      <c r="L77" s="286">
        <f t="shared" si="18"/>
        <v>10.121960393888997</v>
      </c>
      <c r="M77" s="287">
        <f t="shared" si="21"/>
        <v>50.60980196944499</v>
      </c>
      <c r="N77" s="288">
        <f t="shared" si="22"/>
        <v>1</v>
      </c>
      <c r="O77" s="169"/>
      <c r="P77" s="170">
        <v>5</v>
      </c>
      <c r="Q77" s="169">
        <v>0</v>
      </c>
      <c r="R77" s="169">
        <f t="shared" si="12"/>
        <v>5</v>
      </c>
      <c r="S77" s="169">
        <f t="shared" si="13"/>
        <v>50.60980196944499</v>
      </c>
      <c r="T77" s="169"/>
      <c r="U77" s="124"/>
      <c r="X77" s="8"/>
      <c r="AA77" s="1"/>
    </row>
    <row r="78" spans="1:27" ht="15" customHeight="1">
      <c r="A78" s="256" t="s">
        <v>427</v>
      </c>
      <c r="B78" s="256" t="s">
        <v>295</v>
      </c>
      <c r="C78" s="272">
        <v>72571</v>
      </c>
      <c r="D78" s="279" t="s">
        <v>366</v>
      </c>
      <c r="E78" s="277" t="s">
        <v>309</v>
      </c>
      <c r="F78" s="278">
        <f>'[1]MEMÓRIA CÁLCULO'!J244</f>
        <v>22</v>
      </c>
      <c r="G78" s="260">
        <v>2.91</v>
      </c>
      <c r="H78" s="259">
        <f t="shared" si="19"/>
        <v>64.02000000000001</v>
      </c>
      <c r="I78" s="259">
        <f>(G78*J19)+G78</f>
        <v>3.609669699291297</v>
      </c>
      <c r="J78" s="262">
        <f t="shared" si="20"/>
        <v>79.41273338440854</v>
      </c>
      <c r="K78" s="285">
        <f t="shared" si="17"/>
        <v>22</v>
      </c>
      <c r="L78" s="286">
        <f t="shared" si="18"/>
        <v>3.609669699291297</v>
      </c>
      <c r="M78" s="287">
        <f t="shared" si="21"/>
        <v>79.41273338440854</v>
      </c>
      <c r="N78" s="288">
        <f t="shared" si="22"/>
        <v>1</v>
      </c>
      <c r="O78" s="169"/>
      <c r="P78" s="170">
        <v>22</v>
      </c>
      <c r="Q78" s="169">
        <v>0</v>
      </c>
      <c r="R78" s="169">
        <f t="shared" si="12"/>
        <v>22</v>
      </c>
      <c r="S78" s="169">
        <f t="shared" si="13"/>
        <v>79.41273338440854</v>
      </c>
      <c r="T78" s="169"/>
      <c r="U78" s="124"/>
      <c r="X78" s="8"/>
      <c r="AA78" s="1"/>
    </row>
    <row r="79" spans="1:27" ht="15" customHeight="1">
      <c r="A79" s="256" t="s">
        <v>428</v>
      </c>
      <c r="B79" s="256" t="s">
        <v>295</v>
      </c>
      <c r="C79" s="279">
        <v>72576</v>
      </c>
      <c r="D79" s="279" t="s">
        <v>662</v>
      </c>
      <c r="E79" s="277" t="s">
        <v>309</v>
      </c>
      <c r="F79" s="278">
        <f>'[1]MEMÓRIA CÁLCULO'!J245</f>
        <v>23</v>
      </c>
      <c r="G79" s="260">
        <v>5.38</v>
      </c>
      <c r="H79" s="259">
        <f t="shared" si="19"/>
        <v>123.74</v>
      </c>
      <c r="I79" s="259">
        <f>(G79*J19)+G79</f>
        <v>6.673547416559168</v>
      </c>
      <c r="J79" s="262">
        <f t="shared" si="20"/>
        <v>153.49159058086084</v>
      </c>
      <c r="K79" s="285">
        <f t="shared" si="17"/>
        <v>23</v>
      </c>
      <c r="L79" s="286">
        <f t="shared" si="18"/>
        <v>6.673547416559168</v>
      </c>
      <c r="M79" s="287">
        <f t="shared" si="21"/>
        <v>153.49159058086084</v>
      </c>
      <c r="N79" s="288">
        <f t="shared" si="22"/>
        <v>1</v>
      </c>
      <c r="O79" s="169"/>
      <c r="P79" s="170">
        <v>23</v>
      </c>
      <c r="Q79" s="169">
        <v>0</v>
      </c>
      <c r="R79" s="169">
        <f t="shared" si="12"/>
        <v>23</v>
      </c>
      <c r="S79" s="169">
        <f t="shared" si="13"/>
        <v>153.49159058086084</v>
      </c>
      <c r="T79" s="169"/>
      <c r="U79" s="124"/>
      <c r="X79" s="8"/>
      <c r="AA79" s="1"/>
    </row>
    <row r="80" spans="1:27" ht="15" customHeight="1">
      <c r="A80" s="256" t="s">
        <v>429</v>
      </c>
      <c r="B80" s="256" t="s">
        <v>295</v>
      </c>
      <c r="C80" s="272">
        <v>73640</v>
      </c>
      <c r="D80" s="279" t="s">
        <v>179</v>
      </c>
      <c r="E80" s="277" t="s">
        <v>309</v>
      </c>
      <c r="F80" s="278">
        <f>'[1]MEMÓRIA CÁLCULO'!J246</f>
        <v>8</v>
      </c>
      <c r="G80" s="260">
        <v>6.19</v>
      </c>
      <c r="H80" s="259">
        <f t="shared" si="19"/>
        <v>49.52</v>
      </c>
      <c r="I80" s="259">
        <f>(G80*J19)+G80</f>
        <v>7.678300838011385</v>
      </c>
      <c r="J80" s="262">
        <f t="shared" si="20"/>
        <v>61.42640670409108</v>
      </c>
      <c r="K80" s="285">
        <f t="shared" si="17"/>
        <v>8</v>
      </c>
      <c r="L80" s="286">
        <f t="shared" si="18"/>
        <v>7.678300838011385</v>
      </c>
      <c r="M80" s="287">
        <f t="shared" si="21"/>
        <v>61.42640670409108</v>
      </c>
      <c r="N80" s="288">
        <f t="shared" si="22"/>
        <v>1</v>
      </c>
      <c r="O80" s="169"/>
      <c r="P80" s="170">
        <v>8</v>
      </c>
      <c r="Q80" s="169">
        <v>0</v>
      </c>
      <c r="R80" s="169">
        <f t="shared" si="12"/>
        <v>8</v>
      </c>
      <c r="S80" s="169">
        <f t="shared" si="13"/>
        <v>61.42640670409108</v>
      </c>
      <c r="T80" s="169"/>
      <c r="U80" s="124"/>
      <c r="X80" s="8"/>
      <c r="AA80" s="1"/>
    </row>
    <row r="81" spans="1:27" ht="15" customHeight="1">
      <c r="A81" s="256" t="s">
        <v>430</v>
      </c>
      <c r="B81" s="256" t="s">
        <v>294</v>
      </c>
      <c r="C81" s="257" t="s">
        <v>665</v>
      </c>
      <c r="D81" s="279" t="s">
        <v>666</v>
      </c>
      <c r="E81" s="277" t="s">
        <v>309</v>
      </c>
      <c r="F81" s="278">
        <f>'[1]MEMÓRIA CÁLCULO'!J247</f>
        <v>2</v>
      </c>
      <c r="G81" s="260">
        <v>49.34</v>
      </c>
      <c r="H81" s="259">
        <f t="shared" si="19"/>
        <v>98.68</v>
      </c>
      <c r="I81" s="259">
        <f>(G81*J19)+G81</f>
        <v>61.203128165990584</v>
      </c>
      <c r="J81" s="262">
        <f t="shared" si="20"/>
        <v>122.40625633198117</v>
      </c>
      <c r="K81" s="285">
        <f t="shared" si="17"/>
        <v>2</v>
      </c>
      <c r="L81" s="286">
        <f t="shared" si="18"/>
        <v>61.203128165990584</v>
      </c>
      <c r="M81" s="287">
        <f t="shared" si="21"/>
        <v>122.40625633198117</v>
      </c>
      <c r="N81" s="288">
        <f t="shared" si="22"/>
        <v>1</v>
      </c>
      <c r="O81" s="169"/>
      <c r="P81" s="170">
        <v>2</v>
      </c>
      <c r="Q81" s="169">
        <v>0</v>
      </c>
      <c r="R81" s="169">
        <f t="shared" si="12"/>
        <v>2</v>
      </c>
      <c r="S81" s="169">
        <f t="shared" si="13"/>
        <v>122.40625633198117</v>
      </c>
      <c r="T81" s="169"/>
      <c r="U81" s="124"/>
      <c r="X81" s="8"/>
      <c r="AA81" s="1"/>
    </row>
    <row r="82" spans="1:27" ht="15" customHeight="1">
      <c r="A82" s="256" t="s">
        <v>431</v>
      </c>
      <c r="B82" s="256" t="s">
        <v>295</v>
      </c>
      <c r="C82" s="257" t="s">
        <v>667</v>
      </c>
      <c r="D82" s="279" t="s">
        <v>668</v>
      </c>
      <c r="E82" s="277" t="s">
        <v>309</v>
      </c>
      <c r="F82" s="278">
        <f>'[1]MEMÓRIA CÁLCULO'!J249</f>
        <v>4</v>
      </c>
      <c r="G82" s="260">
        <v>43.01</v>
      </c>
      <c r="H82" s="259">
        <f t="shared" si="19"/>
        <v>172.04</v>
      </c>
      <c r="I82" s="259">
        <f>(G82*J19)+G82</f>
        <v>53.35116624278992</v>
      </c>
      <c r="J82" s="262">
        <f t="shared" si="20"/>
        <v>213.4046649711597</v>
      </c>
      <c r="K82" s="285">
        <f t="shared" si="17"/>
        <v>4</v>
      </c>
      <c r="L82" s="286">
        <f t="shared" si="18"/>
        <v>53.35116624278992</v>
      </c>
      <c r="M82" s="287">
        <f t="shared" si="21"/>
        <v>213.4046649711597</v>
      </c>
      <c r="N82" s="288">
        <f t="shared" si="22"/>
        <v>1</v>
      </c>
      <c r="O82" s="169"/>
      <c r="P82" s="170">
        <v>4</v>
      </c>
      <c r="Q82" s="169">
        <v>0</v>
      </c>
      <c r="R82" s="169">
        <f t="shared" si="12"/>
        <v>4</v>
      </c>
      <c r="S82" s="169">
        <f t="shared" si="13"/>
        <v>213.4046649711597</v>
      </c>
      <c r="T82" s="169"/>
      <c r="U82" s="124"/>
      <c r="X82" s="8"/>
      <c r="AA82" s="1"/>
    </row>
    <row r="83" spans="1:27" ht="15" customHeight="1">
      <c r="A83" s="256" t="s">
        <v>432</v>
      </c>
      <c r="B83" s="256" t="s">
        <v>295</v>
      </c>
      <c r="C83" s="257" t="s">
        <v>671</v>
      </c>
      <c r="D83" s="279" t="s">
        <v>672</v>
      </c>
      <c r="E83" s="277" t="s">
        <v>309</v>
      </c>
      <c r="F83" s="278">
        <f>'[1]MEMÓRIA CÁLCULO'!J250</f>
        <v>1</v>
      </c>
      <c r="G83" s="260">
        <v>27.23</v>
      </c>
      <c r="H83" s="259">
        <f t="shared" si="19"/>
        <v>27.23</v>
      </c>
      <c r="I83" s="259">
        <f>(G83*J19)+G83</f>
        <v>33.77708106931341</v>
      </c>
      <c r="J83" s="262">
        <f t="shared" si="20"/>
        <v>33.77708106931341</v>
      </c>
      <c r="K83" s="285">
        <f t="shared" si="17"/>
        <v>1</v>
      </c>
      <c r="L83" s="286">
        <f t="shared" si="18"/>
        <v>33.77708106931341</v>
      </c>
      <c r="M83" s="287">
        <f t="shared" si="21"/>
        <v>33.77708106931341</v>
      </c>
      <c r="N83" s="288">
        <f t="shared" si="22"/>
        <v>1</v>
      </c>
      <c r="O83" s="169"/>
      <c r="P83" s="170">
        <v>1</v>
      </c>
      <c r="Q83" s="169">
        <v>0</v>
      </c>
      <c r="R83" s="169">
        <f t="shared" si="12"/>
        <v>1</v>
      </c>
      <c r="S83" s="169">
        <f t="shared" si="13"/>
        <v>33.77708106931341</v>
      </c>
      <c r="T83" s="169"/>
      <c r="U83" s="124"/>
      <c r="X83" s="8"/>
      <c r="AA83" s="1"/>
    </row>
    <row r="84" spans="1:27" ht="15" customHeight="1">
      <c r="A84" s="256" t="s">
        <v>180</v>
      </c>
      <c r="B84" s="256" t="s">
        <v>295</v>
      </c>
      <c r="C84" s="257">
        <v>72798</v>
      </c>
      <c r="D84" s="279" t="s">
        <v>660</v>
      </c>
      <c r="E84" s="277" t="s">
        <v>309</v>
      </c>
      <c r="F84" s="278">
        <f>'[1]MEMÓRIA CÁLCULO'!J251</f>
        <v>3</v>
      </c>
      <c r="G84" s="260">
        <v>13.12</v>
      </c>
      <c r="H84" s="259">
        <f t="shared" si="19"/>
        <v>39.36</v>
      </c>
      <c r="I84" s="259">
        <f>(G84*J19)+G84</f>
        <v>16.274524554880347</v>
      </c>
      <c r="J84" s="262">
        <f t="shared" si="20"/>
        <v>48.823573664641046</v>
      </c>
      <c r="K84" s="285">
        <f t="shared" si="17"/>
        <v>3</v>
      </c>
      <c r="L84" s="286">
        <f t="shared" si="18"/>
        <v>16.274524554880347</v>
      </c>
      <c r="M84" s="287">
        <f t="shared" si="21"/>
        <v>48.823573664641046</v>
      </c>
      <c r="N84" s="288">
        <f t="shared" si="22"/>
        <v>1</v>
      </c>
      <c r="O84" s="169"/>
      <c r="P84" s="170">
        <v>3</v>
      </c>
      <c r="Q84" s="169">
        <v>0</v>
      </c>
      <c r="R84" s="169">
        <f t="shared" si="12"/>
        <v>3</v>
      </c>
      <c r="S84" s="169">
        <f t="shared" si="13"/>
        <v>48.823573664641046</v>
      </c>
      <c r="T84" s="169"/>
      <c r="U84" s="124"/>
      <c r="X84" s="8"/>
      <c r="AA84" s="1"/>
    </row>
    <row r="85" spans="1:27" ht="15" customHeight="1">
      <c r="A85" s="256" t="s">
        <v>663</v>
      </c>
      <c r="B85" s="256" t="s">
        <v>295</v>
      </c>
      <c r="C85" s="257">
        <v>72783</v>
      </c>
      <c r="D85" s="298" t="s">
        <v>661</v>
      </c>
      <c r="E85" s="277" t="s">
        <v>309</v>
      </c>
      <c r="F85" s="278">
        <f>'[1]MEMÓRIA CÁLCULO'!J252</f>
        <v>1</v>
      </c>
      <c r="G85" s="260">
        <v>7.21</v>
      </c>
      <c r="H85" s="259">
        <f t="shared" si="19"/>
        <v>7.21</v>
      </c>
      <c r="I85" s="259">
        <f>(G85*J19)+G85</f>
        <v>8.94354588724751</v>
      </c>
      <c r="J85" s="262">
        <f t="shared" si="20"/>
        <v>8.94354588724751</v>
      </c>
      <c r="K85" s="285">
        <f t="shared" si="17"/>
        <v>1</v>
      </c>
      <c r="L85" s="286">
        <f t="shared" si="18"/>
        <v>8.94354588724751</v>
      </c>
      <c r="M85" s="287">
        <f t="shared" si="21"/>
        <v>8.94354588724751</v>
      </c>
      <c r="N85" s="288">
        <f t="shared" si="22"/>
        <v>1</v>
      </c>
      <c r="O85" s="169"/>
      <c r="P85" s="170">
        <v>1</v>
      </c>
      <c r="Q85" s="169">
        <v>0</v>
      </c>
      <c r="R85" s="169">
        <f t="shared" si="12"/>
        <v>1</v>
      </c>
      <c r="S85" s="169">
        <f t="shared" si="13"/>
        <v>8.94354588724751</v>
      </c>
      <c r="T85" s="169"/>
      <c r="U85" s="124"/>
      <c r="X85" s="8"/>
      <c r="AA85" s="1"/>
    </row>
    <row r="86" spans="1:27" ht="15" customHeight="1">
      <c r="A86" s="263" t="s">
        <v>664</v>
      </c>
      <c r="B86" s="263" t="s">
        <v>294</v>
      </c>
      <c r="C86" s="264" t="s">
        <v>631</v>
      </c>
      <c r="D86" s="299" t="s">
        <v>632</v>
      </c>
      <c r="E86" s="300" t="s">
        <v>309</v>
      </c>
      <c r="F86" s="301">
        <f>'[1]MEMÓRIA CÁLCULO'!J248</f>
        <v>1</v>
      </c>
      <c r="G86" s="275">
        <v>478.42</v>
      </c>
      <c r="H86" s="266">
        <f t="shared" si="19"/>
        <v>478.42</v>
      </c>
      <c r="I86" s="266">
        <f>(G86*J19)+G86</f>
        <v>593.4495455446537</v>
      </c>
      <c r="J86" s="269">
        <f t="shared" si="20"/>
        <v>593.4495455446537</v>
      </c>
      <c r="K86" s="289">
        <f t="shared" si="17"/>
        <v>1</v>
      </c>
      <c r="L86" s="290">
        <f t="shared" si="18"/>
        <v>593.4495455446537</v>
      </c>
      <c r="M86" s="291">
        <f t="shared" si="21"/>
        <v>593.4495455446537</v>
      </c>
      <c r="N86" s="292">
        <f t="shared" si="22"/>
        <v>1</v>
      </c>
      <c r="O86" s="169"/>
      <c r="P86" s="170">
        <v>1</v>
      </c>
      <c r="Q86" s="169">
        <v>0</v>
      </c>
      <c r="R86" s="169">
        <f t="shared" si="12"/>
        <v>1</v>
      </c>
      <c r="S86" s="169">
        <f t="shared" si="13"/>
        <v>593.4495455446537</v>
      </c>
      <c r="T86" s="169"/>
      <c r="U86" s="124"/>
      <c r="X86" s="8"/>
      <c r="AA86" s="1"/>
    </row>
    <row r="87" spans="1:27" ht="12.75">
      <c r="A87" s="198" t="s">
        <v>388</v>
      </c>
      <c r="B87" s="205"/>
      <c r="C87" s="205"/>
      <c r="D87" s="199" t="s">
        <v>167</v>
      </c>
      <c r="E87" s="202"/>
      <c r="F87" s="172"/>
      <c r="G87" s="172"/>
      <c r="H87" s="172"/>
      <c r="I87" s="172"/>
      <c r="J87" s="232">
        <f>SUM(J88:J102)</f>
        <v>3124.3615164102807</v>
      </c>
      <c r="K87" s="237">
        <f t="shared" si="17"/>
        <v>0</v>
      </c>
      <c r="L87" s="238">
        <f t="shared" si="18"/>
        <v>0</v>
      </c>
      <c r="M87" s="235">
        <f>SUM(M88:M102)</f>
        <v>3124.3615164102807</v>
      </c>
      <c r="N87" s="239"/>
      <c r="O87" s="168"/>
      <c r="P87" s="169"/>
      <c r="Q87" s="168">
        <v>0</v>
      </c>
      <c r="R87" s="169">
        <f aca="true" t="shared" si="23" ref="R87:R118">P87-Q87</f>
        <v>0</v>
      </c>
      <c r="S87" s="169">
        <f aca="true" t="shared" si="24" ref="S87:S118">R87*I87</f>
        <v>0</v>
      </c>
      <c r="T87" s="168"/>
      <c r="U87" s="124">
        <f>J87</f>
        <v>3124.3615164102807</v>
      </c>
      <c r="X87" s="8"/>
      <c r="AA87" s="1"/>
    </row>
    <row r="88" spans="1:27" ht="15" customHeight="1">
      <c r="A88" s="250" t="s">
        <v>433</v>
      </c>
      <c r="B88" s="250" t="s">
        <v>295</v>
      </c>
      <c r="C88" s="251" t="s">
        <v>105</v>
      </c>
      <c r="D88" s="252" t="s">
        <v>312</v>
      </c>
      <c r="E88" s="250" t="s">
        <v>278</v>
      </c>
      <c r="F88" s="270">
        <f>'[1]MEMÓRIA CÁLCULO'!J221</f>
        <v>37.43</v>
      </c>
      <c r="G88" s="271">
        <v>26.07</v>
      </c>
      <c r="H88" s="270">
        <f aca="true" t="shared" si="25" ref="H88:H102">F88*G88</f>
        <v>975.8001</v>
      </c>
      <c r="I88" s="270">
        <f>(G88*J19)+G88</f>
        <v>32.33817493488801</v>
      </c>
      <c r="J88" s="255">
        <f aca="true" t="shared" si="26" ref="J88:J102">F88*I88</f>
        <v>1210.4178878128582</v>
      </c>
      <c r="K88" s="281">
        <f t="shared" si="17"/>
        <v>37.43</v>
      </c>
      <c r="L88" s="282">
        <f t="shared" si="18"/>
        <v>32.33817493488801</v>
      </c>
      <c r="M88" s="283">
        <f aca="true" t="shared" si="27" ref="M88:M102">K88*L88</f>
        <v>1210.4178878128582</v>
      </c>
      <c r="N88" s="284">
        <f aca="true" t="shared" si="28" ref="N88:N102">K88/F88</f>
        <v>1</v>
      </c>
      <c r="O88" s="169"/>
      <c r="P88" s="169">
        <v>37.43</v>
      </c>
      <c r="Q88" s="169">
        <v>0</v>
      </c>
      <c r="R88" s="169">
        <f t="shared" si="23"/>
        <v>37.43</v>
      </c>
      <c r="S88" s="169">
        <f t="shared" si="24"/>
        <v>1210.4178878128582</v>
      </c>
      <c r="T88" s="169"/>
      <c r="U88" s="124"/>
      <c r="X88" s="8"/>
      <c r="AA88" s="3"/>
    </row>
    <row r="89" spans="1:27" ht="15" customHeight="1">
      <c r="A89" s="256" t="s">
        <v>434</v>
      </c>
      <c r="B89" s="256" t="s">
        <v>295</v>
      </c>
      <c r="C89" s="257" t="s">
        <v>106</v>
      </c>
      <c r="D89" s="258" t="s">
        <v>313</v>
      </c>
      <c r="E89" s="256" t="s">
        <v>278</v>
      </c>
      <c r="F89" s="259">
        <f>'[1]MEMÓRIA CÁLCULO'!J222</f>
        <v>14.6</v>
      </c>
      <c r="G89" s="260">
        <v>17.87</v>
      </c>
      <c r="H89" s="259">
        <f t="shared" si="25"/>
        <v>260.902</v>
      </c>
      <c r="I89" s="259">
        <f>(G89*J19)+G89</f>
        <v>22.166597088087794</v>
      </c>
      <c r="J89" s="262">
        <f t="shared" si="26"/>
        <v>323.6323174860818</v>
      </c>
      <c r="K89" s="285">
        <f t="shared" si="17"/>
        <v>14.6</v>
      </c>
      <c r="L89" s="286">
        <f t="shared" si="18"/>
        <v>22.166597088087794</v>
      </c>
      <c r="M89" s="287">
        <f t="shared" si="27"/>
        <v>323.6323174860818</v>
      </c>
      <c r="N89" s="288">
        <f t="shared" si="28"/>
        <v>1</v>
      </c>
      <c r="O89" s="169"/>
      <c r="P89" s="169">
        <v>14.6</v>
      </c>
      <c r="Q89" s="169">
        <v>0</v>
      </c>
      <c r="R89" s="169">
        <f t="shared" si="23"/>
        <v>14.6</v>
      </c>
      <c r="S89" s="169">
        <f t="shared" si="24"/>
        <v>323.6323174860818</v>
      </c>
      <c r="T89" s="169"/>
      <c r="U89" s="124"/>
      <c r="X89" s="8"/>
      <c r="AA89" s="3"/>
    </row>
    <row r="90" spans="1:27" ht="15" customHeight="1">
      <c r="A90" s="256" t="s">
        <v>435</v>
      </c>
      <c r="B90" s="256" t="s">
        <v>295</v>
      </c>
      <c r="C90" s="257" t="s">
        <v>314</v>
      </c>
      <c r="D90" s="258" t="s">
        <v>315</v>
      </c>
      <c r="E90" s="256" t="s">
        <v>278</v>
      </c>
      <c r="F90" s="259">
        <f>'[1]MEMÓRIA CÁLCULO'!J223</f>
        <v>17.85</v>
      </c>
      <c r="G90" s="260">
        <v>12.88</v>
      </c>
      <c r="H90" s="259">
        <f t="shared" si="25"/>
        <v>229.90800000000004</v>
      </c>
      <c r="I90" s="259">
        <f>(G90*J19)+G90</f>
        <v>15.976819837413027</v>
      </c>
      <c r="J90" s="262">
        <f t="shared" si="26"/>
        <v>285.18623409782253</v>
      </c>
      <c r="K90" s="285">
        <f t="shared" si="17"/>
        <v>17.85</v>
      </c>
      <c r="L90" s="286">
        <f t="shared" si="18"/>
        <v>15.976819837413027</v>
      </c>
      <c r="M90" s="287">
        <f t="shared" si="27"/>
        <v>285.18623409782253</v>
      </c>
      <c r="N90" s="288">
        <f t="shared" si="28"/>
        <v>1</v>
      </c>
      <c r="O90" s="169"/>
      <c r="P90" s="169">
        <v>17.85</v>
      </c>
      <c r="Q90" s="169">
        <v>0</v>
      </c>
      <c r="R90" s="169">
        <f t="shared" si="23"/>
        <v>17.85</v>
      </c>
      <c r="S90" s="169">
        <f t="shared" si="24"/>
        <v>285.18623409782253</v>
      </c>
      <c r="T90" s="169"/>
      <c r="U90" s="124"/>
      <c r="X90" s="8"/>
      <c r="AA90" s="3"/>
    </row>
    <row r="91" spans="1:27" ht="15" customHeight="1">
      <c r="A91" s="256" t="s">
        <v>436</v>
      </c>
      <c r="B91" s="256" t="s">
        <v>295</v>
      </c>
      <c r="C91" s="257">
        <v>72461</v>
      </c>
      <c r="D91" s="258" t="s">
        <v>380</v>
      </c>
      <c r="E91" s="256" t="s">
        <v>309</v>
      </c>
      <c r="F91" s="259">
        <f>'[1]MEMÓRIA CÁLCULO'!J224</f>
        <v>2</v>
      </c>
      <c r="G91" s="260">
        <v>18.54</v>
      </c>
      <c r="H91" s="259">
        <f t="shared" si="25"/>
        <v>37.08</v>
      </c>
      <c r="I91" s="259">
        <f>(G91*J19)+G91</f>
        <v>22.997689424350735</v>
      </c>
      <c r="J91" s="262">
        <f t="shared" si="26"/>
        <v>45.99537884870147</v>
      </c>
      <c r="K91" s="285">
        <f t="shared" si="17"/>
        <v>2</v>
      </c>
      <c r="L91" s="286">
        <f t="shared" si="18"/>
        <v>22.997689424350735</v>
      </c>
      <c r="M91" s="287">
        <f t="shared" si="27"/>
        <v>45.99537884870147</v>
      </c>
      <c r="N91" s="288">
        <f t="shared" si="28"/>
        <v>1</v>
      </c>
      <c r="O91" s="169"/>
      <c r="P91" s="169">
        <v>2</v>
      </c>
      <c r="Q91" s="169">
        <v>0</v>
      </c>
      <c r="R91" s="169">
        <f t="shared" si="23"/>
        <v>2</v>
      </c>
      <c r="S91" s="169">
        <f t="shared" si="24"/>
        <v>45.99537884870147</v>
      </c>
      <c r="T91" s="169"/>
      <c r="U91" s="124"/>
      <c r="X91" s="8"/>
      <c r="AA91" s="3"/>
    </row>
    <row r="92" spans="1:27" ht="15" customHeight="1">
      <c r="A92" s="256" t="s">
        <v>437</v>
      </c>
      <c r="B92" s="256" t="s">
        <v>295</v>
      </c>
      <c r="C92" s="257">
        <v>72459</v>
      </c>
      <c r="D92" s="258" t="s">
        <v>379</v>
      </c>
      <c r="E92" s="256" t="s">
        <v>309</v>
      </c>
      <c r="F92" s="259">
        <f>'[1]MEMÓRIA CÁLCULO'!J225</f>
        <v>2</v>
      </c>
      <c r="G92" s="260">
        <v>17.35</v>
      </c>
      <c r="H92" s="259">
        <f t="shared" si="25"/>
        <v>34.7</v>
      </c>
      <c r="I92" s="259">
        <f>(G92*J19)+G92</f>
        <v>21.521570200241925</v>
      </c>
      <c r="J92" s="262">
        <f t="shared" si="26"/>
        <v>43.04314040048385</v>
      </c>
      <c r="K92" s="285">
        <f t="shared" si="17"/>
        <v>2</v>
      </c>
      <c r="L92" s="286">
        <f t="shared" si="18"/>
        <v>21.521570200241925</v>
      </c>
      <c r="M92" s="287">
        <f t="shared" si="27"/>
        <v>43.04314040048385</v>
      </c>
      <c r="N92" s="288">
        <f t="shared" si="28"/>
        <v>1</v>
      </c>
      <c r="O92" s="169"/>
      <c r="P92" s="169">
        <v>2</v>
      </c>
      <c r="Q92" s="169">
        <v>0</v>
      </c>
      <c r="R92" s="169">
        <f t="shared" si="23"/>
        <v>2</v>
      </c>
      <c r="S92" s="169">
        <f t="shared" si="24"/>
        <v>43.04314040048385</v>
      </c>
      <c r="T92" s="169"/>
      <c r="U92" s="124"/>
      <c r="X92" s="8"/>
      <c r="AA92" s="3"/>
    </row>
    <row r="93" spans="1:27" ht="15" customHeight="1">
      <c r="A93" s="256" t="s">
        <v>438</v>
      </c>
      <c r="B93" s="256" t="s">
        <v>295</v>
      </c>
      <c r="C93" s="257">
        <v>72685</v>
      </c>
      <c r="D93" s="258" t="s">
        <v>378</v>
      </c>
      <c r="E93" s="256" t="s">
        <v>309</v>
      </c>
      <c r="F93" s="259">
        <v>6</v>
      </c>
      <c r="G93" s="260">
        <v>13.07</v>
      </c>
      <c r="H93" s="259">
        <f t="shared" si="25"/>
        <v>78.42</v>
      </c>
      <c r="I93" s="259">
        <f>(G93*J19)+G93</f>
        <v>16.212502738741325</v>
      </c>
      <c r="J93" s="262">
        <f t="shared" si="26"/>
        <v>97.27501643244796</v>
      </c>
      <c r="K93" s="285">
        <f t="shared" si="17"/>
        <v>6</v>
      </c>
      <c r="L93" s="286">
        <f t="shared" si="18"/>
        <v>16.212502738741325</v>
      </c>
      <c r="M93" s="287">
        <f t="shared" si="27"/>
        <v>97.27501643244796</v>
      </c>
      <c r="N93" s="288">
        <f t="shared" si="28"/>
        <v>1</v>
      </c>
      <c r="O93" s="169"/>
      <c r="P93" s="169">
        <v>6</v>
      </c>
      <c r="Q93" s="169">
        <v>0</v>
      </c>
      <c r="R93" s="169">
        <f t="shared" si="23"/>
        <v>6</v>
      </c>
      <c r="S93" s="169">
        <f t="shared" si="24"/>
        <v>97.27501643244796</v>
      </c>
      <c r="T93" s="169"/>
      <c r="U93" s="124"/>
      <c r="X93" s="8"/>
      <c r="AA93" s="3"/>
    </row>
    <row r="94" spans="1:27" ht="15" customHeight="1">
      <c r="A94" s="256" t="s">
        <v>439</v>
      </c>
      <c r="B94" s="256" t="s">
        <v>295</v>
      </c>
      <c r="C94" s="257">
        <v>72558</v>
      </c>
      <c r="D94" s="258" t="s">
        <v>377</v>
      </c>
      <c r="E94" s="256" t="s">
        <v>309</v>
      </c>
      <c r="F94" s="259">
        <f>'[1]MEMÓRIA CÁLCULO'!J232</f>
        <v>30</v>
      </c>
      <c r="G94" s="260">
        <v>4.92</v>
      </c>
      <c r="H94" s="259">
        <f t="shared" si="25"/>
        <v>147.6</v>
      </c>
      <c r="I94" s="259">
        <f>(G94*J19)+G94</f>
        <v>6.102946708080131</v>
      </c>
      <c r="J94" s="262">
        <f t="shared" si="26"/>
        <v>183.08840124240393</v>
      </c>
      <c r="K94" s="285">
        <f t="shared" si="17"/>
        <v>30</v>
      </c>
      <c r="L94" s="286">
        <f t="shared" si="18"/>
        <v>6.102946708080131</v>
      </c>
      <c r="M94" s="287">
        <f t="shared" si="27"/>
        <v>183.08840124240393</v>
      </c>
      <c r="N94" s="288">
        <f t="shared" si="28"/>
        <v>1</v>
      </c>
      <c r="O94" s="169"/>
      <c r="P94" s="169">
        <v>30</v>
      </c>
      <c r="Q94" s="169">
        <v>0</v>
      </c>
      <c r="R94" s="169">
        <f t="shared" si="23"/>
        <v>30</v>
      </c>
      <c r="S94" s="169">
        <f t="shared" si="24"/>
        <v>183.08840124240393</v>
      </c>
      <c r="T94" s="169"/>
      <c r="U94" s="124"/>
      <c r="X94" s="8"/>
      <c r="AA94" s="3"/>
    </row>
    <row r="95" spans="1:27" ht="15" customHeight="1">
      <c r="A95" s="256" t="s">
        <v>440</v>
      </c>
      <c r="B95" s="256" t="s">
        <v>295</v>
      </c>
      <c r="C95" s="257">
        <v>72560</v>
      </c>
      <c r="D95" s="258" t="s">
        <v>649</v>
      </c>
      <c r="E95" s="256" t="s">
        <v>309</v>
      </c>
      <c r="F95" s="278">
        <f>'[1]MEMÓRIA CÁLCULO'!J233</f>
        <v>3</v>
      </c>
      <c r="G95" s="260">
        <v>6.36</v>
      </c>
      <c r="H95" s="259">
        <f t="shared" si="25"/>
        <v>19.080000000000002</v>
      </c>
      <c r="I95" s="259">
        <f>(G95*J19)+G95</f>
        <v>7.889175012884072</v>
      </c>
      <c r="J95" s="262">
        <f t="shared" si="26"/>
        <v>23.667525038652215</v>
      </c>
      <c r="K95" s="285">
        <f t="shared" si="17"/>
        <v>3</v>
      </c>
      <c r="L95" s="286">
        <f t="shared" si="18"/>
        <v>7.889175012884072</v>
      </c>
      <c r="M95" s="287">
        <f t="shared" si="27"/>
        <v>23.667525038652215</v>
      </c>
      <c r="N95" s="288">
        <f t="shared" si="28"/>
        <v>1</v>
      </c>
      <c r="O95" s="169"/>
      <c r="P95" s="170">
        <v>3</v>
      </c>
      <c r="Q95" s="169">
        <v>0</v>
      </c>
      <c r="R95" s="169">
        <f t="shared" si="23"/>
        <v>3</v>
      </c>
      <c r="S95" s="169">
        <f t="shared" si="24"/>
        <v>23.667525038652215</v>
      </c>
      <c r="T95" s="169"/>
      <c r="U95" s="124"/>
      <c r="X95" s="8"/>
      <c r="AA95" s="3"/>
    </row>
    <row r="96" spans="1:27" ht="15" customHeight="1">
      <c r="A96" s="256" t="s">
        <v>441</v>
      </c>
      <c r="B96" s="256" t="s">
        <v>295</v>
      </c>
      <c r="C96" s="257">
        <v>72556</v>
      </c>
      <c r="D96" s="258" t="s">
        <v>376</v>
      </c>
      <c r="E96" s="256" t="s">
        <v>309</v>
      </c>
      <c r="F96" s="259">
        <f>'[1]MEMÓRIA CÁLCULO'!J231</f>
        <v>6</v>
      </c>
      <c r="G96" s="260">
        <v>12.81</v>
      </c>
      <c r="H96" s="259">
        <f t="shared" si="25"/>
        <v>76.86</v>
      </c>
      <c r="I96" s="259">
        <f>(G96*J19)+G96</f>
        <v>15.88998929481839</v>
      </c>
      <c r="J96" s="262">
        <f t="shared" si="26"/>
        <v>95.33993576891034</v>
      </c>
      <c r="K96" s="285">
        <f t="shared" si="17"/>
        <v>6</v>
      </c>
      <c r="L96" s="286">
        <f t="shared" si="18"/>
        <v>15.88998929481839</v>
      </c>
      <c r="M96" s="287">
        <f t="shared" si="27"/>
        <v>95.33993576891034</v>
      </c>
      <c r="N96" s="288">
        <f t="shared" si="28"/>
        <v>1</v>
      </c>
      <c r="O96" s="169"/>
      <c r="P96" s="169">
        <v>6</v>
      </c>
      <c r="Q96" s="169">
        <v>0</v>
      </c>
      <c r="R96" s="169">
        <f t="shared" si="23"/>
        <v>6</v>
      </c>
      <c r="S96" s="169">
        <f t="shared" si="24"/>
        <v>95.33993576891034</v>
      </c>
      <c r="T96" s="169"/>
      <c r="U96" s="124"/>
      <c r="X96" s="8"/>
      <c r="AA96" s="3"/>
    </row>
    <row r="97" spans="1:27" ht="15" customHeight="1">
      <c r="A97" s="256" t="s">
        <v>442</v>
      </c>
      <c r="B97" s="256" t="s">
        <v>295</v>
      </c>
      <c r="C97" s="257">
        <v>72539</v>
      </c>
      <c r="D97" s="258" t="s">
        <v>375</v>
      </c>
      <c r="E97" s="256" t="s">
        <v>309</v>
      </c>
      <c r="F97" s="259">
        <f>'[1]MEMÓRIA CÁLCULO'!J230</f>
        <v>3</v>
      </c>
      <c r="G97" s="260">
        <v>14.8</v>
      </c>
      <c r="H97" s="259">
        <f t="shared" si="25"/>
        <v>44.400000000000006</v>
      </c>
      <c r="I97" s="259">
        <f>(G97*J19)+G97</f>
        <v>18.358457577151615</v>
      </c>
      <c r="J97" s="262">
        <f t="shared" si="26"/>
        <v>55.07537273145485</v>
      </c>
      <c r="K97" s="285">
        <f t="shared" si="17"/>
        <v>3</v>
      </c>
      <c r="L97" s="286">
        <f t="shared" si="18"/>
        <v>18.358457577151615</v>
      </c>
      <c r="M97" s="287">
        <f t="shared" si="27"/>
        <v>55.07537273145485</v>
      </c>
      <c r="N97" s="288">
        <f t="shared" si="28"/>
        <v>1</v>
      </c>
      <c r="O97" s="169"/>
      <c r="P97" s="169">
        <v>3</v>
      </c>
      <c r="Q97" s="169">
        <v>0</v>
      </c>
      <c r="R97" s="169">
        <f t="shared" si="23"/>
        <v>3</v>
      </c>
      <c r="S97" s="169">
        <f t="shared" si="24"/>
        <v>55.07537273145485</v>
      </c>
      <c r="T97" s="169"/>
      <c r="U97" s="124"/>
      <c r="X97" s="8"/>
      <c r="AA97" s="3"/>
    </row>
    <row r="98" spans="1:27" ht="15" customHeight="1">
      <c r="A98" s="256" t="s">
        <v>443</v>
      </c>
      <c r="B98" s="256" t="s">
        <v>295</v>
      </c>
      <c r="C98" s="257">
        <v>72561</v>
      </c>
      <c r="D98" s="258" t="s">
        <v>374</v>
      </c>
      <c r="E98" s="256" t="s">
        <v>309</v>
      </c>
      <c r="F98" s="259">
        <f>'[1]MEMÓRIA CÁLCULO'!J228</f>
        <v>1</v>
      </c>
      <c r="G98" s="260">
        <v>6.37</v>
      </c>
      <c r="H98" s="259">
        <f t="shared" si="25"/>
        <v>6.37</v>
      </c>
      <c r="I98" s="259">
        <f>(G98*J19)+G98</f>
        <v>7.901579376111877</v>
      </c>
      <c r="J98" s="262">
        <f t="shared" si="26"/>
        <v>7.901579376111877</v>
      </c>
      <c r="K98" s="285">
        <f t="shared" si="17"/>
        <v>1</v>
      </c>
      <c r="L98" s="286">
        <f t="shared" si="18"/>
        <v>7.901579376111877</v>
      </c>
      <c r="M98" s="287">
        <f t="shared" si="27"/>
        <v>7.901579376111877</v>
      </c>
      <c r="N98" s="288">
        <f t="shared" si="28"/>
        <v>1</v>
      </c>
      <c r="O98" s="169"/>
      <c r="P98" s="169">
        <v>1</v>
      </c>
      <c r="Q98" s="169">
        <v>0</v>
      </c>
      <c r="R98" s="169">
        <f t="shared" si="23"/>
        <v>1</v>
      </c>
      <c r="S98" s="169">
        <f t="shared" si="24"/>
        <v>7.901579376111877</v>
      </c>
      <c r="T98" s="169"/>
      <c r="U98" s="124"/>
      <c r="X98" s="8"/>
      <c r="AA98" s="3"/>
    </row>
    <row r="99" spans="1:27" ht="15" customHeight="1">
      <c r="A99" s="256" t="s">
        <v>444</v>
      </c>
      <c r="B99" s="256" t="s">
        <v>295</v>
      </c>
      <c r="C99" s="257">
        <v>72559</v>
      </c>
      <c r="D99" s="258" t="s">
        <v>161</v>
      </c>
      <c r="E99" s="256" t="s">
        <v>309</v>
      </c>
      <c r="F99" s="259">
        <f>'[1]MEMÓRIA CÁLCULO'!J227</f>
        <v>11</v>
      </c>
      <c r="G99" s="260">
        <v>5.1</v>
      </c>
      <c r="H99" s="259">
        <f t="shared" si="25"/>
        <v>56.099999999999994</v>
      </c>
      <c r="I99" s="259">
        <f>(G99*J19)+G99</f>
        <v>6.326225246180623</v>
      </c>
      <c r="J99" s="262">
        <f t="shared" si="26"/>
        <v>69.58847770798685</v>
      </c>
      <c r="K99" s="285">
        <f t="shared" si="17"/>
        <v>11</v>
      </c>
      <c r="L99" s="286">
        <f t="shared" si="18"/>
        <v>6.326225246180623</v>
      </c>
      <c r="M99" s="287">
        <f t="shared" si="27"/>
        <v>69.58847770798685</v>
      </c>
      <c r="N99" s="288">
        <f t="shared" si="28"/>
        <v>1</v>
      </c>
      <c r="O99" s="169"/>
      <c r="P99" s="169">
        <v>11</v>
      </c>
      <c r="Q99" s="169">
        <v>0</v>
      </c>
      <c r="R99" s="169">
        <f t="shared" si="23"/>
        <v>11</v>
      </c>
      <c r="S99" s="169">
        <f t="shared" si="24"/>
        <v>69.58847770798685</v>
      </c>
      <c r="T99" s="169"/>
      <c r="U99" s="124"/>
      <c r="X99" s="8"/>
      <c r="AA99" s="3"/>
    </row>
    <row r="100" spans="1:27" ht="15" customHeight="1">
      <c r="A100" s="256" t="s">
        <v>163</v>
      </c>
      <c r="B100" s="256" t="s">
        <v>295</v>
      </c>
      <c r="C100" s="257">
        <v>72557</v>
      </c>
      <c r="D100" s="258" t="s">
        <v>162</v>
      </c>
      <c r="E100" s="256" t="s">
        <v>309</v>
      </c>
      <c r="F100" s="259">
        <f>'[1]MEMÓRIA CÁLCULO'!J226</f>
        <v>4</v>
      </c>
      <c r="G100" s="260">
        <v>12.4</v>
      </c>
      <c r="H100" s="259">
        <f t="shared" si="25"/>
        <v>49.6</v>
      </c>
      <c r="I100" s="259">
        <f>(G100*J19)+G100</f>
        <v>15.38141040247838</v>
      </c>
      <c r="J100" s="262">
        <f t="shared" si="26"/>
        <v>61.52564160991352</v>
      </c>
      <c r="K100" s="285">
        <f t="shared" si="17"/>
        <v>4</v>
      </c>
      <c r="L100" s="286">
        <f t="shared" si="18"/>
        <v>15.38141040247838</v>
      </c>
      <c r="M100" s="287">
        <f t="shared" si="27"/>
        <v>61.52564160991352</v>
      </c>
      <c r="N100" s="288">
        <f t="shared" si="28"/>
        <v>1</v>
      </c>
      <c r="O100" s="169"/>
      <c r="P100" s="169">
        <v>4</v>
      </c>
      <c r="Q100" s="169">
        <v>0</v>
      </c>
      <c r="R100" s="169">
        <f t="shared" si="23"/>
        <v>4</v>
      </c>
      <c r="S100" s="169">
        <f t="shared" si="24"/>
        <v>61.52564160991352</v>
      </c>
      <c r="T100" s="169"/>
      <c r="U100" s="124"/>
      <c r="X100" s="8"/>
      <c r="AA100" s="3"/>
    </row>
    <row r="101" spans="1:27" ht="15" customHeight="1">
      <c r="A101" s="256" t="s">
        <v>164</v>
      </c>
      <c r="B101" s="256" t="s">
        <v>294</v>
      </c>
      <c r="C101" s="257" t="s">
        <v>372</v>
      </c>
      <c r="D101" s="258" t="s">
        <v>373</v>
      </c>
      <c r="E101" s="256" t="s">
        <v>311</v>
      </c>
      <c r="F101" s="259">
        <f>'[1]MEMÓRIA CÁLCULO'!J234</f>
        <v>5</v>
      </c>
      <c r="G101" s="260">
        <v>31.06</v>
      </c>
      <c r="H101" s="259">
        <f t="shared" si="25"/>
        <v>155.29999999999998</v>
      </c>
      <c r="I101" s="259">
        <f>(G101*J19)+G101</f>
        <v>38.527952185562775</v>
      </c>
      <c r="J101" s="262">
        <f t="shared" si="26"/>
        <v>192.63976092781388</v>
      </c>
      <c r="K101" s="285">
        <f t="shared" si="17"/>
        <v>5</v>
      </c>
      <c r="L101" s="286">
        <f t="shared" si="18"/>
        <v>38.527952185562775</v>
      </c>
      <c r="M101" s="287">
        <f t="shared" si="27"/>
        <v>192.63976092781388</v>
      </c>
      <c r="N101" s="288">
        <f t="shared" si="28"/>
        <v>1</v>
      </c>
      <c r="O101" s="169"/>
      <c r="P101" s="169">
        <v>5</v>
      </c>
      <c r="Q101" s="169">
        <v>0</v>
      </c>
      <c r="R101" s="169">
        <f t="shared" si="23"/>
        <v>5</v>
      </c>
      <c r="S101" s="169">
        <f t="shared" si="24"/>
        <v>192.63976092781388</v>
      </c>
      <c r="T101" s="169"/>
      <c r="U101" s="124"/>
      <c r="X101" s="8"/>
      <c r="AA101" s="3"/>
    </row>
    <row r="102" spans="1:27" ht="24.75" customHeight="1">
      <c r="A102" s="263" t="s">
        <v>648</v>
      </c>
      <c r="B102" s="263" t="s">
        <v>294</v>
      </c>
      <c r="C102" s="264" t="s">
        <v>165</v>
      </c>
      <c r="D102" s="265" t="s">
        <v>166</v>
      </c>
      <c r="E102" s="263" t="s">
        <v>311</v>
      </c>
      <c r="F102" s="266">
        <f>'[1]MEMÓRIA CÁLCULO'!J235</f>
        <v>4</v>
      </c>
      <c r="G102" s="275">
        <v>86.66</v>
      </c>
      <c r="H102" s="266">
        <f t="shared" si="25"/>
        <v>346.64</v>
      </c>
      <c r="I102" s="266">
        <f>(G102*J19)+G102</f>
        <v>107.49621173215937</v>
      </c>
      <c r="J102" s="269">
        <f t="shared" si="26"/>
        <v>429.98484692863747</v>
      </c>
      <c r="K102" s="289">
        <f aca="true" t="shared" si="29" ref="K102:K133">F102-Q102</f>
        <v>4</v>
      </c>
      <c r="L102" s="290">
        <f aca="true" t="shared" si="30" ref="L102:L133">(G102*J$19)+G102</f>
        <v>107.49621173215937</v>
      </c>
      <c r="M102" s="291">
        <f t="shared" si="27"/>
        <v>429.98484692863747</v>
      </c>
      <c r="N102" s="292">
        <f t="shared" si="28"/>
        <v>1</v>
      </c>
      <c r="O102" s="169"/>
      <c r="P102" s="169">
        <v>4</v>
      </c>
      <c r="Q102" s="169">
        <v>0</v>
      </c>
      <c r="R102" s="169">
        <f t="shared" si="23"/>
        <v>4</v>
      </c>
      <c r="S102" s="169">
        <f t="shared" si="24"/>
        <v>429.98484692863747</v>
      </c>
      <c r="T102" s="169"/>
      <c r="U102" s="124"/>
      <c r="X102" s="8"/>
      <c r="AA102" s="3"/>
    </row>
    <row r="103" spans="1:27" ht="12.75">
      <c r="A103" s="198" t="s">
        <v>287</v>
      </c>
      <c r="B103" s="205"/>
      <c r="C103" s="205"/>
      <c r="D103" s="199" t="s">
        <v>310</v>
      </c>
      <c r="E103" s="202"/>
      <c r="F103" s="172"/>
      <c r="G103" s="206"/>
      <c r="H103" s="172"/>
      <c r="I103" s="172"/>
      <c r="J103" s="232">
        <f>SUM(J104:J111)</f>
        <v>7891.296158996027</v>
      </c>
      <c r="K103" s="237">
        <f t="shared" si="29"/>
        <v>0</v>
      </c>
      <c r="L103" s="238">
        <f t="shared" si="30"/>
        <v>0</v>
      </c>
      <c r="M103" s="235">
        <f>SUM(M104:M111)</f>
        <v>7891.296158996027</v>
      </c>
      <c r="N103" s="239"/>
      <c r="O103" s="168"/>
      <c r="P103" s="169"/>
      <c r="Q103" s="168">
        <v>0</v>
      </c>
      <c r="R103" s="169">
        <f t="shared" si="23"/>
        <v>0</v>
      </c>
      <c r="S103" s="169">
        <f t="shared" si="24"/>
        <v>0</v>
      </c>
      <c r="T103" s="168"/>
      <c r="U103" s="124">
        <f>J103</f>
        <v>7891.296158996027</v>
      </c>
      <c r="X103" s="8"/>
      <c r="AA103" s="3"/>
    </row>
    <row r="104" spans="1:24" ht="14.25" customHeight="1">
      <c r="A104" s="250" t="s">
        <v>445</v>
      </c>
      <c r="B104" s="250" t="s">
        <v>294</v>
      </c>
      <c r="C104" s="251" t="s">
        <v>608</v>
      </c>
      <c r="D104" s="252" t="s">
        <v>609</v>
      </c>
      <c r="E104" s="250" t="s">
        <v>309</v>
      </c>
      <c r="F104" s="270">
        <f>'[1]MEMÓRIA CÁLCULO'!J204+'[1]MEMÓRIA CÁLCULO'!J205</f>
        <v>9</v>
      </c>
      <c r="G104" s="271">
        <v>301.65</v>
      </c>
      <c r="H104" s="270">
        <f aca="true" t="shared" si="31" ref="H104:H111">F104*G104</f>
        <v>2714.85</v>
      </c>
      <c r="I104" s="270">
        <f>(G104*J19)+G104</f>
        <v>374.1776167667422</v>
      </c>
      <c r="J104" s="255">
        <f aca="true" t="shared" si="32" ref="J104:J111">F104*I104</f>
        <v>3367.5985509006796</v>
      </c>
      <c r="K104" s="281">
        <f t="shared" si="29"/>
        <v>9</v>
      </c>
      <c r="L104" s="282">
        <f t="shared" si="30"/>
        <v>374.1776167667422</v>
      </c>
      <c r="M104" s="283">
        <f aca="true" t="shared" si="33" ref="M104:M111">K104*L104</f>
        <v>3367.5985509006796</v>
      </c>
      <c r="N104" s="284">
        <f aca="true" t="shared" si="34" ref="N104:N111">K104/F104</f>
        <v>1</v>
      </c>
      <c r="O104" s="169"/>
      <c r="P104" s="169">
        <v>9</v>
      </c>
      <c r="Q104" s="169">
        <v>0</v>
      </c>
      <c r="R104" s="169">
        <f t="shared" si="23"/>
        <v>9</v>
      </c>
      <c r="S104" s="169">
        <f t="shared" si="24"/>
        <v>3367.5985509006796</v>
      </c>
      <c r="T104" s="169"/>
      <c r="U104" s="124"/>
      <c r="X104" s="8"/>
    </row>
    <row r="105" spans="1:24" ht="27" customHeight="1">
      <c r="A105" s="256" t="s">
        <v>446</v>
      </c>
      <c r="B105" s="256" t="s">
        <v>295</v>
      </c>
      <c r="C105" s="257" t="s">
        <v>243</v>
      </c>
      <c r="D105" s="258" t="s">
        <v>244</v>
      </c>
      <c r="E105" s="256" t="s">
        <v>309</v>
      </c>
      <c r="F105" s="259">
        <f>'[1]MEMÓRIA CÁLCULO'!J210</f>
        <v>2</v>
      </c>
      <c r="G105" s="260">
        <v>205.5</v>
      </c>
      <c r="H105" s="259">
        <f t="shared" si="31"/>
        <v>411</v>
      </c>
      <c r="I105" s="259">
        <f>(G105*J19)+G105</f>
        <v>254.9096643313957</v>
      </c>
      <c r="J105" s="262">
        <f t="shared" si="32"/>
        <v>509.8193286627914</v>
      </c>
      <c r="K105" s="285">
        <f t="shared" si="29"/>
        <v>2</v>
      </c>
      <c r="L105" s="286">
        <f t="shared" si="30"/>
        <v>254.9096643313957</v>
      </c>
      <c r="M105" s="287">
        <f t="shared" si="33"/>
        <v>509.8193286627914</v>
      </c>
      <c r="N105" s="288">
        <f t="shared" si="34"/>
        <v>1</v>
      </c>
      <c r="O105" s="169"/>
      <c r="P105" s="169">
        <v>2</v>
      </c>
      <c r="Q105" s="169">
        <v>0</v>
      </c>
      <c r="R105" s="169">
        <f t="shared" si="23"/>
        <v>2</v>
      </c>
      <c r="S105" s="169">
        <f t="shared" si="24"/>
        <v>509.8193286627914</v>
      </c>
      <c r="T105" s="169"/>
      <c r="U105" s="124"/>
      <c r="X105" s="8"/>
    </row>
    <row r="106" spans="1:24" ht="24" customHeight="1">
      <c r="A106" s="256" t="s">
        <v>447</v>
      </c>
      <c r="B106" s="256" t="s">
        <v>295</v>
      </c>
      <c r="C106" s="257" t="s">
        <v>241</v>
      </c>
      <c r="D106" s="258" t="s">
        <v>242</v>
      </c>
      <c r="E106" s="256" t="s">
        <v>309</v>
      </c>
      <c r="F106" s="259">
        <f>'[1]MEMÓRIA CÁLCULO'!J206+'[1]MEMÓRIA CÁLCULO'!J207</f>
        <v>9</v>
      </c>
      <c r="G106" s="260">
        <v>176.07</v>
      </c>
      <c r="H106" s="259">
        <f t="shared" si="31"/>
        <v>1584.6299999999999</v>
      </c>
      <c r="I106" s="259">
        <f>(G106*J19)+G106</f>
        <v>218.40362335196517</v>
      </c>
      <c r="J106" s="262">
        <f t="shared" si="32"/>
        <v>1965.6326101676864</v>
      </c>
      <c r="K106" s="285">
        <f t="shared" si="29"/>
        <v>9</v>
      </c>
      <c r="L106" s="286">
        <f t="shared" si="30"/>
        <v>218.40362335196517</v>
      </c>
      <c r="M106" s="287">
        <f t="shared" si="33"/>
        <v>1965.6326101676864</v>
      </c>
      <c r="N106" s="288">
        <f t="shared" si="34"/>
        <v>1</v>
      </c>
      <c r="O106" s="169"/>
      <c r="P106" s="169">
        <v>9</v>
      </c>
      <c r="Q106" s="169">
        <v>0</v>
      </c>
      <c r="R106" s="169">
        <f t="shared" si="23"/>
        <v>9</v>
      </c>
      <c r="S106" s="169">
        <f t="shared" si="24"/>
        <v>1965.6326101676864</v>
      </c>
      <c r="T106" s="169"/>
      <c r="U106" s="124"/>
      <c r="X106" s="8"/>
    </row>
    <row r="107" spans="1:24" ht="15" customHeight="1">
      <c r="A107" s="256" t="s">
        <v>448</v>
      </c>
      <c r="B107" s="256" t="s">
        <v>295</v>
      </c>
      <c r="C107" s="257" t="s">
        <v>316</v>
      </c>
      <c r="D107" s="258" t="s">
        <v>317</v>
      </c>
      <c r="E107" s="256" t="s">
        <v>309</v>
      </c>
      <c r="F107" s="259">
        <f>F106</f>
        <v>9</v>
      </c>
      <c r="G107" s="260">
        <v>17.45</v>
      </c>
      <c r="H107" s="259">
        <f t="shared" si="31"/>
        <v>157.04999999999998</v>
      </c>
      <c r="I107" s="259">
        <f>(G107*J19)+G107</f>
        <v>21.645613832519977</v>
      </c>
      <c r="J107" s="262">
        <f t="shared" si="32"/>
        <v>194.8105244926798</v>
      </c>
      <c r="K107" s="285">
        <f t="shared" si="29"/>
        <v>9</v>
      </c>
      <c r="L107" s="286">
        <f t="shared" si="30"/>
        <v>21.645613832519977</v>
      </c>
      <c r="M107" s="287">
        <f t="shared" si="33"/>
        <v>194.8105244926798</v>
      </c>
      <c r="N107" s="288">
        <f t="shared" si="34"/>
        <v>1</v>
      </c>
      <c r="O107" s="169"/>
      <c r="P107" s="169">
        <v>9</v>
      </c>
      <c r="Q107" s="169">
        <v>0</v>
      </c>
      <c r="R107" s="169">
        <f t="shared" si="23"/>
        <v>9</v>
      </c>
      <c r="S107" s="169">
        <f t="shared" si="24"/>
        <v>194.8105244926798</v>
      </c>
      <c r="T107" s="169"/>
      <c r="U107" s="124"/>
      <c r="X107" s="8"/>
    </row>
    <row r="108" spans="1:24" ht="15" customHeight="1">
      <c r="A108" s="256" t="s">
        <v>449</v>
      </c>
      <c r="B108" s="256" t="s">
        <v>295</v>
      </c>
      <c r="C108" s="257">
        <v>6004</v>
      </c>
      <c r="D108" s="258" t="s">
        <v>318</v>
      </c>
      <c r="E108" s="256" t="s">
        <v>309</v>
      </c>
      <c r="F108" s="259">
        <f>F107</f>
        <v>9</v>
      </c>
      <c r="G108" s="260">
        <v>28.76</v>
      </c>
      <c r="H108" s="259">
        <f t="shared" si="31"/>
        <v>258.84000000000003</v>
      </c>
      <c r="I108" s="259">
        <f>(G108*J19)+G108</f>
        <v>35.674948643167596</v>
      </c>
      <c r="J108" s="262">
        <f t="shared" si="32"/>
        <v>321.07453778850834</v>
      </c>
      <c r="K108" s="285">
        <f t="shared" si="29"/>
        <v>9</v>
      </c>
      <c r="L108" s="286">
        <f t="shared" si="30"/>
        <v>35.674948643167596</v>
      </c>
      <c r="M108" s="287">
        <f t="shared" si="33"/>
        <v>321.07453778850834</v>
      </c>
      <c r="N108" s="288">
        <f t="shared" si="34"/>
        <v>1</v>
      </c>
      <c r="O108" s="169"/>
      <c r="P108" s="169">
        <v>9</v>
      </c>
      <c r="Q108" s="169">
        <v>0</v>
      </c>
      <c r="R108" s="169">
        <f t="shared" si="23"/>
        <v>9</v>
      </c>
      <c r="S108" s="169">
        <f t="shared" si="24"/>
        <v>321.07453778850834</v>
      </c>
      <c r="T108" s="169"/>
      <c r="U108" s="124"/>
      <c r="X108" s="8"/>
    </row>
    <row r="109" spans="1:24" ht="12.75">
      <c r="A109" s="256" t="s">
        <v>450</v>
      </c>
      <c r="B109" s="256" t="s">
        <v>295</v>
      </c>
      <c r="C109" s="257" t="s">
        <v>245</v>
      </c>
      <c r="D109" s="258" t="s">
        <v>158</v>
      </c>
      <c r="E109" s="256" t="s">
        <v>309</v>
      </c>
      <c r="F109" s="259">
        <v>4</v>
      </c>
      <c r="G109" s="260">
        <v>147.42</v>
      </c>
      <c r="H109" s="259">
        <f t="shared" si="31"/>
        <v>589.68</v>
      </c>
      <c r="I109" s="259">
        <f>(G109*J19)+G109</f>
        <v>182.86512270430342</v>
      </c>
      <c r="J109" s="262">
        <f t="shared" si="32"/>
        <v>731.4604908172137</v>
      </c>
      <c r="K109" s="285">
        <f t="shared" si="29"/>
        <v>4</v>
      </c>
      <c r="L109" s="286">
        <f t="shared" si="30"/>
        <v>182.86512270430342</v>
      </c>
      <c r="M109" s="287">
        <f t="shared" si="33"/>
        <v>731.4604908172137</v>
      </c>
      <c r="N109" s="288">
        <f t="shared" si="34"/>
        <v>1</v>
      </c>
      <c r="O109" s="169"/>
      <c r="P109" s="169">
        <v>4</v>
      </c>
      <c r="Q109" s="169">
        <v>0</v>
      </c>
      <c r="R109" s="169">
        <f t="shared" si="23"/>
        <v>4</v>
      </c>
      <c r="S109" s="169">
        <f t="shared" si="24"/>
        <v>731.4604908172137</v>
      </c>
      <c r="T109" s="169"/>
      <c r="U109" s="124"/>
      <c r="X109" s="8"/>
    </row>
    <row r="110" spans="1:24" ht="15" customHeight="1">
      <c r="A110" s="256" t="s">
        <v>451</v>
      </c>
      <c r="B110" s="256" t="s">
        <v>294</v>
      </c>
      <c r="C110" s="257" t="s">
        <v>401</v>
      </c>
      <c r="D110" s="258" t="s">
        <v>240</v>
      </c>
      <c r="E110" s="256" t="s">
        <v>309</v>
      </c>
      <c r="F110" s="259">
        <f>'[1]MEMÓRIA CÁLCULO'!J208</f>
        <v>2</v>
      </c>
      <c r="G110" s="260">
        <v>228.51</v>
      </c>
      <c r="H110" s="259">
        <f t="shared" si="31"/>
        <v>457.02</v>
      </c>
      <c r="I110" s="259">
        <f>(G110*J19)+G110</f>
        <v>283.45210411857533</v>
      </c>
      <c r="J110" s="262">
        <f t="shared" si="32"/>
        <v>566.9042082371507</v>
      </c>
      <c r="K110" s="285">
        <f t="shared" si="29"/>
        <v>2</v>
      </c>
      <c r="L110" s="286">
        <f t="shared" si="30"/>
        <v>283.45210411857533</v>
      </c>
      <c r="M110" s="287">
        <f t="shared" si="33"/>
        <v>566.9042082371507</v>
      </c>
      <c r="N110" s="288">
        <f t="shared" si="34"/>
        <v>1</v>
      </c>
      <c r="O110" s="169"/>
      <c r="P110" s="169">
        <v>2</v>
      </c>
      <c r="Q110" s="169">
        <v>0</v>
      </c>
      <c r="R110" s="169">
        <f t="shared" si="23"/>
        <v>2</v>
      </c>
      <c r="S110" s="169">
        <f t="shared" si="24"/>
        <v>566.9042082371507</v>
      </c>
      <c r="T110" s="169"/>
      <c r="U110" s="124"/>
      <c r="X110" s="8"/>
    </row>
    <row r="111" spans="1:24" ht="15" customHeight="1">
      <c r="A111" s="263" t="s">
        <v>452</v>
      </c>
      <c r="B111" s="263" t="s">
        <v>295</v>
      </c>
      <c r="C111" s="264">
        <v>6008</v>
      </c>
      <c r="D111" s="265" t="s">
        <v>319</v>
      </c>
      <c r="E111" s="263" t="s">
        <v>309</v>
      </c>
      <c r="F111" s="266">
        <f>F108</f>
        <v>9</v>
      </c>
      <c r="G111" s="275">
        <v>20.96</v>
      </c>
      <c r="H111" s="266">
        <f t="shared" si="31"/>
        <v>188.64000000000001</v>
      </c>
      <c r="I111" s="266">
        <f>(G111*J19)+G111</f>
        <v>25.999545325479584</v>
      </c>
      <c r="J111" s="269">
        <f t="shared" si="32"/>
        <v>233.99590792931625</v>
      </c>
      <c r="K111" s="289">
        <f t="shared" si="29"/>
        <v>9</v>
      </c>
      <c r="L111" s="290">
        <f t="shared" si="30"/>
        <v>25.999545325479584</v>
      </c>
      <c r="M111" s="291">
        <f t="shared" si="33"/>
        <v>233.99590792931625</v>
      </c>
      <c r="N111" s="292">
        <f t="shared" si="34"/>
        <v>1</v>
      </c>
      <c r="O111" s="169"/>
      <c r="P111" s="169">
        <v>9</v>
      </c>
      <c r="Q111" s="169">
        <v>0</v>
      </c>
      <c r="R111" s="169">
        <f t="shared" si="23"/>
        <v>9</v>
      </c>
      <c r="S111" s="169">
        <f t="shared" si="24"/>
        <v>233.99590792931625</v>
      </c>
      <c r="T111" s="169"/>
      <c r="U111" s="124"/>
      <c r="X111" s="8"/>
    </row>
    <row r="112" spans="1:24" ht="12.75">
      <c r="A112" s="198" t="s">
        <v>389</v>
      </c>
      <c r="B112" s="205"/>
      <c r="C112" s="205"/>
      <c r="D112" s="199" t="s">
        <v>493</v>
      </c>
      <c r="E112" s="202"/>
      <c r="F112" s="172"/>
      <c r="G112" s="206"/>
      <c r="H112" s="172"/>
      <c r="I112" s="172"/>
      <c r="J112" s="232">
        <f>J113</f>
        <v>613.8175099647098</v>
      </c>
      <c r="K112" s="237">
        <f t="shared" si="29"/>
        <v>0</v>
      </c>
      <c r="L112" s="238">
        <f t="shared" si="30"/>
        <v>0</v>
      </c>
      <c r="M112" s="235">
        <f>M113</f>
        <v>613.8175099647098</v>
      </c>
      <c r="N112" s="239"/>
      <c r="O112" s="168"/>
      <c r="P112" s="169"/>
      <c r="Q112" s="168">
        <v>0</v>
      </c>
      <c r="R112" s="169">
        <f t="shared" si="23"/>
        <v>0</v>
      </c>
      <c r="S112" s="169">
        <f t="shared" si="24"/>
        <v>0</v>
      </c>
      <c r="T112" s="168"/>
      <c r="U112" s="124">
        <f>J112</f>
        <v>613.8175099647098</v>
      </c>
      <c r="X112" s="8"/>
    </row>
    <row r="113" spans="1:24" ht="39" customHeight="1">
      <c r="A113" s="202" t="s">
        <v>393</v>
      </c>
      <c r="B113" s="202" t="s">
        <v>295</v>
      </c>
      <c r="C113" s="203" t="s">
        <v>489</v>
      </c>
      <c r="D113" s="204" t="s">
        <v>490</v>
      </c>
      <c r="E113" s="202" t="s">
        <v>309</v>
      </c>
      <c r="F113" s="172">
        <v>1</v>
      </c>
      <c r="G113" s="173">
        <v>494.84</v>
      </c>
      <c r="H113" s="172">
        <f>F113*G113</f>
        <v>494.84</v>
      </c>
      <c r="I113" s="172">
        <f>(G113*J19)+G113</f>
        <v>613.8175099647098</v>
      </c>
      <c r="J113" s="233">
        <f>F113*I113</f>
        <v>613.8175099647098</v>
      </c>
      <c r="K113" s="237">
        <f t="shared" si="29"/>
        <v>1</v>
      </c>
      <c r="L113" s="238">
        <f t="shared" si="30"/>
        <v>613.8175099647098</v>
      </c>
      <c r="M113" s="236">
        <f>K113*L113</f>
        <v>613.8175099647098</v>
      </c>
      <c r="N113" s="239">
        <f>K113/F113</f>
        <v>1</v>
      </c>
      <c r="O113" s="169"/>
      <c r="P113" s="169">
        <v>1</v>
      </c>
      <c r="Q113" s="169">
        <v>0</v>
      </c>
      <c r="R113" s="169">
        <f t="shared" si="23"/>
        <v>1</v>
      </c>
      <c r="S113" s="169">
        <f t="shared" si="24"/>
        <v>613.8175099647098</v>
      </c>
      <c r="T113" s="169"/>
      <c r="U113" s="124"/>
      <c r="X113" s="8"/>
    </row>
    <row r="114" spans="1:24" ht="15" customHeight="1">
      <c r="A114" s="198" t="s">
        <v>390</v>
      </c>
      <c r="B114" s="205"/>
      <c r="C114" s="205"/>
      <c r="D114" s="199" t="s">
        <v>285</v>
      </c>
      <c r="E114" s="202"/>
      <c r="F114" s="172"/>
      <c r="G114" s="172"/>
      <c r="H114" s="172"/>
      <c r="I114" s="172"/>
      <c r="J114" s="232">
        <f>SUM(J115:J141)</f>
        <v>7574.80875472916</v>
      </c>
      <c r="K114" s="237">
        <f t="shared" si="29"/>
        <v>0</v>
      </c>
      <c r="L114" s="238">
        <f t="shared" si="30"/>
        <v>0</v>
      </c>
      <c r="M114" s="235">
        <f>SUM(M115:M141)</f>
        <v>7574.80875472916</v>
      </c>
      <c r="N114" s="239"/>
      <c r="O114" s="168"/>
      <c r="P114" s="169"/>
      <c r="Q114" s="168">
        <v>0</v>
      </c>
      <c r="R114" s="169">
        <f t="shared" si="23"/>
        <v>0</v>
      </c>
      <c r="S114" s="169">
        <f t="shared" si="24"/>
        <v>0</v>
      </c>
      <c r="T114" s="168"/>
      <c r="U114" s="124">
        <f>J114</f>
        <v>7574.80875472916</v>
      </c>
      <c r="V114" s="11"/>
      <c r="W114" s="11"/>
      <c r="X114" s="26"/>
    </row>
    <row r="115" spans="1:24" ht="15" customHeight="1">
      <c r="A115" s="250" t="s">
        <v>394</v>
      </c>
      <c r="B115" s="250" t="s">
        <v>295</v>
      </c>
      <c r="C115" s="251">
        <v>73613</v>
      </c>
      <c r="D115" s="302" t="s">
        <v>573</v>
      </c>
      <c r="E115" s="250" t="s">
        <v>278</v>
      </c>
      <c r="F115" s="270">
        <f>'[1]MEMÓRIA CÁLCULO'!J347</f>
        <v>110</v>
      </c>
      <c r="G115" s="270">
        <v>4.46</v>
      </c>
      <c r="H115" s="270">
        <f aca="true" t="shared" si="35" ref="H115:H141">F115*G115</f>
        <v>490.6</v>
      </c>
      <c r="I115" s="270">
        <f>(G115*J19)+G115</f>
        <v>5.532345999601095</v>
      </c>
      <c r="J115" s="255">
        <f aca="true" t="shared" si="36" ref="J115:J141">F115*I115</f>
        <v>608.5580599561204</v>
      </c>
      <c r="K115" s="281">
        <f t="shared" si="29"/>
        <v>110</v>
      </c>
      <c r="L115" s="282">
        <f t="shared" si="30"/>
        <v>5.532345999601095</v>
      </c>
      <c r="M115" s="283">
        <f aca="true" t="shared" si="37" ref="M115:M141">K115*L115</f>
        <v>608.5580599561204</v>
      </c>
      <c r="N115" s="284">
        <f aca="true" t="shared" si="38" ref="N115:N141">K115/F115</f>
        <v>1</v>
      </c>
      <c r="O115" s="169"/>
      <c r="P115" s="169">
        <v>110</v>
      </c>
      <c r="Q115" s="169">
        <v>0</v>
      </c>
      <c r="R115" s="169">
        <f t="shared" si="23"/>
        <v>110</v>
      </c>
      <c r="S115" s="169">
        <f t="shared" si="24"/>
        <v>608.5580599561204</v>
      </c>
      <c r="T115" s="169"/>
      <c r="U115" s="125"/>
      <c r="V115" s="47"/>
      <c r="W115" s="47"/>
      <c r="X115" s="26"/>
    </row>
    <row r="116" spans="1:24" ht="15" customHeight="1">
      <c r="A116" s="256" t="s">
        <v>395</v>
      </c>
      <c r="B116" s="256" t="s">
        <v>295</v>
      </c>
      <c r="C116" s="257" t="s">
        <v>570</v>
      </c>
      <c r="D116" s="272" t="s">
        <v>572</v>
      </c>
      <c r="E116" s="256" t="s">
        <v>278</v>
      </c>
      <c r="F116" s="259">
        <f>'[1]MEMÓRIA CÁLCULO'!J348</f>
        <v>32.2</v>
      </c>
      <c r="G116" s="259">
        <v>7.7</v>
      </c>
      <c r="H116" s="259">
        <f t="shared" si="35"/>
        <v>247.94000000000003</v>
      </c>
      <c r="I116" s="259">
        <f>(G116*J19)+G116</f>
        <v>9.551359685409961</v>
      </c>
      <c r="J116" s="262">
        <f t="shared" si="36"/>
        <v>307.5537818702008</v>
      </c>
      <c r="K116" s="285">
        <f t="shared" si="29"/>
        <v>32.2</v>
      </c>
      <c r="L116" s="286">
        <f t="shared" si="30"/>
        <v>9.551359685409961</v>
      </c>
      <c r="M116" s="287">
        <f t="shared" si="37"/>
        <v>307.5537818702008</v>
      </c>
      <c r="N116" s="288">
        <f t="shared" si="38"/>
        <v>1</v>
      </c>
      <c r="O116" s="169"/>
      <c r="P116" s="169">
        <v>32.2</v>
      </c>
      <c r="Q116" s="169">
        <v>0</v>
      </c>
      <c r="R116" s="169">
        <f t="shared" si="23"/>
        <v>32.2</v>
      </c>
      <c r="S116" s="169">
        <f t="shared" si="24"/>
        <v>307.5537818702008</v>
      </c>
      <c r="T116" s="169"/>
      <c r="U116" s="125"/>
      <c r="V116" s="47"/>
      <c r="W116" s="47"/>
      <c r="X116" s="26"/>
    </row>
    <row r="117" spans="1:24" ht="15" customHeight="1">
      <c r="A117" s="256" t="s">
        <v>474</v>
      </c>
      <c r="B117" s="256" t="s">
        <v>294</v>
      </c>
      <c r="C117" s="257" t="s">
        <v>574</v>
      </c>
      <c r="D117" s="272" t="s">
        <v>571</v>
      </c>
      <c r="E117" s="256" t="s">
        <v>278</v>
      </c>
      <c r="F117" s="259">
        <f>'[1]MEMÓRIA CÁLCULO'!J349</f>
        <v>10.2</v>
      </c>
      <c r="G117" s="259">
        <v>9</v>
      </c>
      <c r="H117" s="259">
        <f t="shared" si="35"/>
        <v>91.8</v>
      </c>
      <c r="I117" s="259">
        <f>(G117*J19)+G117</f>
        <v>11.16392690502463</v>
      </c>
      <c r="J117" s="262">
        <f t="shared" si="36"/>
        <v>113.87205443125121</v>
      </c>
      <c r="K117" s="285">
        <f t="shared" si="29"/>
        <v>10.2</v>
      </c>
      <c r="L117" s="286">
        <f t="shared" si="30"/>
        <v>11.16392690502463</v>
      </c>
      <c r="M117" s="287">
        <f t="shared" si="37"/>
        <v>113.87205443125121</v>
      </c>
      <c r="N117" s="288">
        <f t="shared" si="38"/>
        <v>1</v>
      </c>
      <c r="O117" s="169"/>
      <c r="P117" s="169">
        <v>10.2</v>
      </c>
      <c r="Q117" s="169">
        <v>0</v>
      </c>
      <c r="R117" s="169">
        <f t="shared" si="23"/>
        <v>10.2</v>
      </c>
      <c r="S117" s="169">
        <f t="shared" si="24"/>
        <v>113.87205443125121</v>
      </c>
      <c r="T117" s="169"/>
      <c r="U117" s="125"/>
      <c r="V117" s="47"/>
      <c r="W117" s="47"/>
      <c r="X117" s="26"/>
    </row>
    <row r="118" spans="1:24" ht="15" customHeight="1">
      <c r="A118" s="256" t="s">
        <v>475</v>
      </c>
      <c r="B118" s="256" t="s">
        <v>295</v>
      </c>
      <c r="C118" s="272">
        <v>55865</v>
      </c>
      <c r="D118" s="258" t="s">
        <v>577</v>
      </c>
      <c r="E118" s="256" t="s">
        <v>278</v>
      </c>
      <c r="F118" s="259">
        <f>'[1]MEMÓRIA CÁLCULO'!J350</f>
        <v>20.1</v>
      </c>
      <c r="G118" s="259">
        <v>13.68</v>
      </c>
      <c r="H118" s="259">
        <f t="shared" si="35"/>
        <v>274.968</v>
      </c>
      <c r="I118" s="259">
        <f>(G118*J19)+G118</f>
        <v>16.969168895637438</v>
      </c>
      <c r="J118" s="262">
        <f t="shared" si="36"/>
        <v>341.08029480231255</v>
      </c>
      <c r="K118" s="285">
        <f t="shared" si="29"/>
        <v>20.1</v>
      </c>
      <c r="L118" s="286">
        <f t="shared" si="30"/>
        <v>16.969168895637438</v>
      </c>
      <c r="M118" s="287">
        <f t="shared" si="37"/>
        <v>341.08029480231255</v>
      </c>
      <c r="N118" s="288">
        <f t="shared" si="38"/>
        <v>1</v>
      </c>
      <c r="O118" s="169"/>
      <c r="P118" s="169">
        <v>20.1</v>
      </c>
      <c r="Q118" s="169">
        <v>0</v>
      </c>
      <c r="R118" s="169">
        <f t="shared" si="23"/>
        <v>20.1</v>
      </c>
      <c r="S118" s="169">
        <f t="shared" si="24"/>
        <v>341.08029480231255</v>
      </c>
      <c r="T118" s="169"/>
      <c r="U118" s="125"/>
      <c r="V118" s="47"/>
      <c r="W118" s="47"/>
      <c r="X118" s="26"/>
    </row>
    <row r="119" spans="1:24" ht="15" customHeight="1">
      <c r="A119" s="256" t="s">
        <v>476</v>
      </c>
      <c r="B119" s="256" t="s">
        <v>295</v>
      </c>
      <c r="C119" s="272">
        <v>1870</v>
      </c>
      <c r="D119" s="272" t="s">
        <v>185</v>
      </c>
      <c r="E119" s="256" t="s">
        <v>309</v>
      </c>
      <c r="F119" s="259">
        <v>3</v>
      </c>
      <c r="G119" s="259">
        <v>1.25</v>
      </c>
      <c r="H119" s="259">
        <f t="shared" si="35"/>
        <v>3.75</v>
      </c>
      <c r="I119" s="259">
        <f>(G119*J19)+G119</f>
        <v>1.550545403475643</v>
      </c>
      <c r="J119" s="262">
        <f t="shared" si="36"/>
        <v>4.651636210426929</v>
      </c>
      <c r="K119" s="285">
        <f t="shared" si="29"/>
        <v>3</v>
      </c>
      <c r="L119" s="286">
        <f t="shared" si="30"/>
        <v>1.550545403475643</v>
      </c>
      <c r="M119" s="287">
        <f t="shared" si="37"/>
        <v>4.651636210426929</v>
      </c>
      <c r="N119" s="288">
        <f t="shared" si="38"/>
        <v>1</v>
      </c>
      <c r="O119" s="169"/>
      <c r="P119" s="169">
        <v>3</v>
      </c>
      <c r="Q119" s="169">
        <v>0</v>
      </c>
      <c r="R119" s="169">
        <f aca="true" t="shared" si="39" ref="R119:R150">P119-Q119</f>
        <v>3</v>
      </c>
      <c r="S119" s="169">
        <f aca="true" t="shared" si="40" ref="S119:S150">R119*I119</f>
        <v>4.651636210426929</v>
      </c>
      <c r="T119" s="169"/>
      <c r="U119" s="125"/>
      <c r="V119" s="47"/>
      <c r="W119" s="47"/>
      <c r="X119" s="26"/>
    </row>
    <row r="120" spans="1:24" ht="12.75">
      <c r="A120" s="256" t="s">
        <v>477</v>
      </c>
      <c r="B120" s="256" t="s">
        <v>295</v>
      </c>
      <c r="C120" s="272">
        <v>7560</v>
      </c>
      <c r="D120" s="303" t="s">
        <v>186</v>
      </c>
      <c r="E120" s="256" t="s">
        <v>309</v>
      </c>
      <c r="F120" s="259">
        <v>1</v>
      </c>
      <c r="G120" s="259">
        <v>10.94</v>
      </c>
      <c r="H120" s="259">
        <f t="shared" si="35"/>
        <v>10.94</v>
      </c>
      <c r="I120" s="259">
        <f>(G120*J19)+G120</f>
        <v>13.570373371218828</v>
      </c>
      <c r="J120" s="262">
        <f t="shared" si="36"/>
        <v>13.570373371218828</v>
      </c>
      <c r="K120" s="285">
        <f t="shared" si="29"/>
        <v>1</v>
      </c>
      <c r="L120" s="286">
        <f t="shared" si="30"/>
        <v>13.570373371218828</v>
      </c>
      <c r="M120" s="287">
        <f t="shared" si="37"/>
        <v>13.570373371218828</v>
      </c>
      <c r="N120" s="288">
        <f t="shared" si="38"/>
        <v>1</v>
      </c>
      <c r="O120" s="169"/>
      <c r="P120" s="169">
        <v>1</v>
      </c>
      <c r="Q120" s="169">
        <v>0</v>
      </c>
      <c r="R120" s="169">
        <f t="shared" si="39"/>
        <v>1</v>
      </c>
      <c r="S120" s="169">
        <f t="shared" si="40"/>
        <v>13.570373371218828</v>
      </c>
      <c r="T120" s="169"/>
      <c r="U120" s="125"/>
      <c r="V120" s="47"/>
      <c r="W120" s="47"/>
      <c r="X120" s="26"/>
    </row>
    <row r="121" spans="1:24" ht="12.75">
      <c r="A121" s="256" t="s">
        <v>478</v>
      </c>
      <c r="B121" s="256" t="s">
        <v>295</v>
      </c>
      <c r="C121" s="304">
        <v>7559</v>
      </c>
      <c r="D121" s="305" t="s">
        <v>154</v>
      </c>
      <c r="E121" s="256" t="s">
        <v>309</v>
      </c>
      <c r="F121" s="259">
        <v>1</v>
      </c>
      <c r="G121" s="259">
        <v>7.93</v>
      </c>
      <c r="H121" s="259">
        <f t="shared" si="35"/>
        <v>7.93</v>
      </c>
      <c r="I121" s="259">
        <f>(G121*J19)+G121</f>
        <v>9.836660039649479</v>
      </c>
      <c r="J121" s="262">
        <f t="shared" si="36"/>
        <v>9.836660039649479</v>
      </c>
      <c r="K121" s="285">
        <f t="shared" si="29"/>
        <v>1</v>
      </c>
      <c r="L121" s="286">
        <f t="shared" si="30"/>
        <v>9.836660039649479</v>
      </c>
      <c r="M121" s="287">
        <f t="shared" si="37"/>
        <v>9.836660039649479</v>
      </c>
      <c r="N121" s="288">
        <f t="shared" si="38"/>
        <v>1</v>
      </c>
      <c r="O121" s="169"/>
      <c r="P121" s="169">
        <v>1</v>
      </c>
      <c r="Q121" s="169">
        <v>0</v>
      </c>
      <c r="R121" s="169">
        <f t="shared" si="39"/>
        <v>1</v>
      </c>
      <c r="S121" s="169">
        <f t="shared" si="40"/>
        <v>9.836660039649479</v>
      </c>
      <c r="T121" s="169"/>
      <c r="U121" s="125"/>
      <c r="V121" s="47"/>
      <c r="W121" s="47"/>
      <c r="X121" s="26"/>
    </row>
    <row r="122" spans="1:24" ht="12.75">
      <c r="A122" s="256" t="s">
        <v>479</v>
      </c>
      <c r="B122" s="256" t="s">
        <v>295</v>
      </c>
      <c r="C122" s="304">
        <v>7547</v>
      </c>
      <c r="D122" s="305" t="s">
        <v>187</v>
      </c>
      <c r="E122" s="256" t="s">
        <v>309</v>
      </c>
      <c r="F122" s="259">
        <v>3</v>
      </c>
      <c r="G122" s="259">
        <v>6.77</v>
      </c>
      <c r="H122" s="259">
        <f t="shared" si="35"/>
        <v>20.31</v>
      </c>
      <c r="I122" s="259">
        <f>(G122*J19)+G122</f>
        <v>8.397753905224082</v>
      </c>
      <c r="J122" s="262">
        <f t="shared" si="36"/>
        <v>25.193261715672246</v>
      </c>
      <c r="K122" s="285">
        <f t="shared" si="29"/>
        <v>3</v>
      </c>
      <c r="L122" s="286">
        <f t="shared" si="30"/>
        <v>8.397753905224082</v>
      </c>
      <c r="M122" s="287">
        <f t="shared" si="37"/>
        <v>25.193261715672246</v>
      </c>
      <c r="N122" s="288">
        <f t="shared" si="38"/>
        <v>1</v>
      </c>
      <c r="O122" s="169"/>
      <c r="P122" s="169">
        <v>3</v>
      </c>
      <c r="Q122" s="169">
        <v>0</v>
      </c>
      <c r="R122" s="169">
        <f t="shared" si="39"/>
        <v>3</v>
      </c>
      <c r="S122" s="169">
        <f t="shared" si="40"/>
        <v>25.193261715672246</v>
      </c>
      <c r="T122" s="169"/>
      <c r="U122" s="125"/>
      <c r="V122" s="47"/>
      <c r="W122" s="47"/>
      <c r="X122" s="26"/>
    </row>
    <row r="123" spans="1:24" ht="15" customHeight="1">
      <c r="A123" s="256" t="s">
        <v>480</v>
      </c>
      <c r="B123" s="256" t="s">
        <v>295</v>
      </c>
      <c r="C123" s="304">
        <v>7555</v>
      </c>
      <c r="D123" s="306" t="s">
        <v>188</v>
      </c>
      <c r="E123" s="256" t="s">
        <v>309</v>
      </c>
      <c r="F123" s="259">
        <v>7</v>
      </c>
      <c r="G123" s="259">
        <v>4.61</v>
      </c>
      <c r="H123" s="259">
        <f t="shared" si="35"/>
        <v>32.27</v>
      </c>
      <c r="I123" s="259">
        <f>(G123*J19)+G123</f>
        <v>5.718411448018172</v>
      </c>
      <c r="J123" s="262">
        <f t="shared" si="36"/>
        <v>40.0288801361272</v>
      </c>
      <c r="K123" s="285">
        <f t="shared" si="29"/>
        <v>7</v>
      </c>
      <c r="L123" s="286">
        <f t="shared" si="30"/>
        <v>5.718411448018172</v>
      </c>
      <c r="M123" s="287">
        <f t="shared" si="37"/>
        <v>40.0288801361272</v>
      </c>
      <c r="N123" s="288">
        <f t="shared" si="38"/>
        <v>1</v>
      </c>
      <c r="O123" s="169"/>
      <c r="P123" s="169">
        <v>7</v>
      </c>
      <c r="Q123" s="169">
        <v>0</v>
      </c>
      <c r="R123" s="169">
        <f t="shared" si="39"/>
        <v>7</v>
      </c>
      <c r="S123" s="169">
        <f t="shared" si="40"/>
        <v>40.0288801361272</v>
      </c>
      <c r="T123" s="169"/>
      <c r="U123" s="125"/>
      <c r="V123" s="47"/>
      <c r="W123" s="47"/>
      <c r="X123" s="26"/>
    </row>
    <row r="124" spans="1:24" ht="15" customHeight="1">
      <c r="A124" s="256" t="s">
        <v>481</v>
      </c>
      <c r="B124" s="256" t="s">
        <v>295</v>
      </c>
      <c r="C124" s="272">
        <v>12120</v>
      </c>
      <c r="D124" s="307" t="s">
        <v>189</v>
      </c>
      <c r="E124" s="256" t="s">
        <v>309</v>
      </c>
      <c r="F124" s="259">
        <v>15</v>
      </c>
      <c r="G124" s="259">
        <v>3.32</v>
      </c>
      <c r="H124" s="259">
        <f t="shared" si="35"/>
        <v>49.8</v>
      </c>
      <c r="I124" s="259">
        <f>(G124*J19)+G124</f>
        <v>4.118248591631308</v>
      </c>
      <c r="J124" s="262">
        <f t="shared" si="36"/>
        <v>61.77372887446962</v>
      </c>
      <c r="K124" s="285">
        <f t="shared" si="29"/>
        <v>15</v>
      </c>
      <c r="L124" s="286">
        <f t="shared" si="30"/>
        <v>4.118248591631308</v>
      </c>
      <c r="M124" s="287">
        <f t="shared" si="37"/>
        <v>61.77372887446962</v>
      </c>
      <c r="N124" s="288">
        <f t="shared" si="38"/>
        <v>1</v>
      </c>
      <c r="O124" s="169"/>
      <c r="P124" s="169">
        <v>15</v>
      </c>
      <c r="Q124" s="169">
        <v>0</v>
      </c>
      <c r="R124" s="169">
        <f t="shared" si="39"/>
        <v>15</v>
      </c>
      <c r="S124" s="169">
        <f t="shared" si="40"/>
        <v>61.77372887446962</v>
      </c>
      <c r="T124" s="169"/>
      <c r="U124" s="125"/>
      <c r="V124" s="47"/>
      <c r="W124" s="47"/>
      <c r="X124" s="26"/>
    </row>
    <row r="125" spans="1:24" ht="15" customHeight="1">
      <c r="A125" s="256" t="s">
        <v>482</v>
      </c>
      <c r="B125" s="256" t="s">
        <v>295</v>
      </c>
      <c r="C125" s="304">
        <v>20245</v>
      </c>
      <c r="D125" s="306" t="s">
        <v>190</v>
      </c>
      <c r="E125" s="256" t="s">
        <v>309</v>
      </c>
      <c r="F125" s="259">
        <v>4</v>
      </c>
      <c r="G125" s="259">
        <v>4.94</v>
      </c>
      <c r="H125" s="259">
        <f t="shared" si="35"/>
        <v>19.76</v>
      </c>
      <c r="I125" s="259">
        <f>(G125*J19)+G125</f>
        <v>6.127755434535741</v>
      </c>
      <c r="J125" s="262">
        <f t="shared" si="36"/>
        <v>24.511021738142965</v>
      </c>
      <c r="K125" s="285">
        <f t="shared" si="29"/>
        <v>4</v>
      </c>
      <c r="L125" s="286">
        <f t="shared" si="30"/>
        <v>6.127755434535741</v>
      </c>
      <c r="M125" s="287">
        <f t="shared" si="37"/>
        <v>24.511021738142965</v>
      </c>
      <c r="N125" s="288">
        <f t="shared" si="38"/>
        <v>1</v>
      </c>
      <c r="O125" s="169"/>
      <c r="P125" s="169">
        <v>4</v>
      </c>
      <c r="Q125" s="169">
        <v>0</v>
      </c>
      <c r="R125" s="169">
        <f t="shared" si="39"/>
        <v>4</v>
      </c>
      <c r="S125" s="169">
        <f t="shared" si="40"/>
        <v>24.511021738142965</v>
      </c>
      <c r="T125" s="169"/>
      <c r="U125" s="125"/>
      <c r="V125" s="47"/>
      <c r="W125" s="47"/>
      <c r="X125" s="26"/>
    </row>
    <row r="126" spans="1:24" ht="15" customHeight="1">
      <c r="A126" s="256" t="s">
        <v>483</v>
      </c>
      <c r="B126" s="256" t="s">
        <v>295</v>
      </c>
      <c r="C126" s="304">
        <v>7526</v>
      </c>
      <c r="D126" s="306" t="s">
        <v>191</v>
      </c>
      <c r="E126" s="256" t="s">
        <v>309</v>
      </c>
      <c r="F126" s="259">
        <v>2</v>
      </c>
      <c r="G126" s="259">
        <v>9.51</v>
      </c>
      <c r="H126" s="259">
        <f t="shared" si="35"/>
        <v>19.02</v>
      </c>
      <c r="I126" s="259">
        <f>(G126*J19)+G126</f>
        <v>11.796549429642692</v>
      </c>
      <c r="J126" s="262">
        <f t="shared" si="36"/>
        <v>23.593098859285384</v>
      </c>
      <c r="K126" s="285">
        <f t="shared" si="29"/>
        <v>2</v>
      </c>
      <c r="L126" s="286">
        <f t="shared" si="30"/>
        <v>11.796549429642692</v>
      </c>
      <c r="M126" s="287">
        <f t="shared" si="37"/>
        <v>23.593098859285384</v>
      </c>
      <c r="N126" s="288">
        <f t="shared" si="38"/>
        <v>1</v>
      </c>
      <c r="O126" s="169"/>
      <c r="P126" s="169">
        <v>2</v>
      </c>
      <c r="Q126" s="169">
        <v>0</v>
      </c>
      <c r="R126" s="169">
        <f t="shared" si="39"/>
        <v>2</v>
      </c>
      <c r="S126" s="169">
        <f t="shared" si="40"/>
        <v>23.593098859285384</v>
      </c>
      <c r="T126" s="169"/>
      <c r="U126" s="125"/>
      <c r="V126" s="47"/>
      <c r="W126" s="47"/>
      <c r="X126" s="26"/>
    </row>
    <row r="127" spans="1:24" ht="12.75">
      <c r="A127" s="256" t="s">
        <v>484</v>
      </c>
      <c r="B127" s="256" t="s">
        <v>295</v>
      </c>
      <c r="C127" s="304">
        <v>7528</v>
      </c>
      <c r="D127" s="305" t="s">
        <v>192</v>
      </c>
      <c r="E127" s="256" t="s">
        <v>309</v>
      </c>
      <c r="F127" s="259">
        <v>9</v>
      </c>
      <c r="G127" s="259">
        <v>4.9</v>
      </c>
      <c r="H127" s="259">
        <f t="shared" si="35"/>
        <v>44.1</v>
      </c>
      <c r="I127" s="259">
        <f>(G127*J19)+G127</f>
        <v>6.078137981624521</v>
      </c>
      <c r="J127" s="262">
        <f t="shared" si="36"/>
        <v>54.70324183462069</v>
      </c>
      <c r="K127" s="285">
        <f t="shared" si="29"/>
        <v>9</v>
      </c>
      <c r="L127" s="286">
        <f t="shared" si="30"/>
        <v>6.078137981624521</v>
      </c>
      <c r="M127" s="287">
        <f t="shared" si="37"/>
        <v>54.70324183462069</v>
      </c>
      <c r="N127" s="288">
        <f t="shared" si="38"/>
        <v>1</v>
      </c>
      <c r="O127" s="169"/>
      <c r="P127" s="169">
        <v>9</v>
      </c>
      <c r="Q127" s="169">
        <v>0</v>
      </c>
      <c r="R127" s="169">
        <f t="shared" si="39"/>
        <v>9</v>
      </c>
      <c r="S127" s="169">
        <f t="shared" si="40"/>
        <v>54.70324183462069</v>
      </c>
      <c r="T127" s="169"/>
      <c r="U127" s="125"/>
      <c r="V127" s="47"/>
      <c r="W127" s="47"/>
      <c r="X127" s="26"/>
    </row>
    <row r="128" spans="1:24" ht="15" customHeight="1">
      <c r="A128" s="256" t="s">
        <v>218</v>
      </c>
      <c r="B128" s="256" t="s">
        <v>295</v>
      </c>
      <c r="C128" s="304">
        <v>7533</v>
      </c>
      <c r="D128" s="306" t="s">
        <v>193</v>
      </c>
      <c r="E128" s="256" t="s">
        <v>309</v>
      </c>
      <c r="F128" s="259">
        <v>6</v>
      </c>
      <c r="G128" s="259">
        <v>3.36</v>
      </c>
      <c r="H128" s="259">
        <f t="shared" si="35"/>
        <v>20.16</v>
      </c>
      <c r="I128" s="259">
        <f>(G128*J19)+G128</f>
        <v>4.167866044542528</v>
      </c>
      <c r="J128" s="262">
        <f t="shared" si="36"/>
        <v>25.007196267255168</v>
      </c>
      <c r="K128" s="285">
        <f t="shared" si="29"/>
        <v>6</v>
      </c>
      <c r="L128" s="286">
        <f t="shared" si="30"/>
        <v>4.167866044542528</v>
      </c>
      <c r="M128" s="287">
        <f t="shared" si="37"/>
        <v>25.007196267255168</v>
      </c>
      <c r="N128" s="288">
        <f t="shared" si="38"/>
        <v>1</v>
      </c>
      <c r="O128" s="169"/>
      <c r="P128" s="169">
        <v>6</v>
      </c>
      <c r="Q128" s="169">
        <v>0</v>
      </c>
      <c r="R128" s="169">
        <f t="shared" si="39"/>
        <v>6</v>
      </c>
      <c r="S128" s="169">
        <f t="shared" si="40"/>
        <v>25.007196267255168</v>
      </c>
      <c r="T128" s="169"/>
      <c r="U128" s="125"/>
      <c r="V128" s="47"/>
      <c r="W128" s="47"/>
      <c r="X128" s="26"/>
    </row>
    <row r="129" spans="1:24" ht="15" customHeight="1">
      <c r="A129" s="256" t="s">
        <v>485</v>
      </c>
      <c r="B129" s="256" t="s">
        <v>295</v>
      </c>
      <c r="C129" s="272">
        <v>10569</v>
      </c>
      <c r="D129" s="307" t="s">
        <v>194</v>
      </c>
      <c r="E129" s="256" t="s">
        <v>309</v>
      </c>
      <c r="F129" s="259">
        <v>38</v>
      </c>
      <c r="G129" s="259">
        <v>1.64</v>
      </c>
      <c r="H129" s="259">
        <f t="shared" si="35"/>
        <v>62.31999999999999</v>
      </c>
      <c r="I129" s="259">
        <f>(G129*J19)+G129</f>
        <v>2.0343155693600434</v>
      </c>
      <c r="J129" s="262">
        <f t="shared" si="36"/>
        <v>77.30399163568165</v>
      </c>
      <c r="K129" s="285">
        <f t="shared" si="29"/>
        <v>38</v>
      </c>
      <c r="L129" s="286">
        <f t="shared" si="30"/>
        <v>2.0343155693600434</v>
      </c>
      <c r="M129" s="287">
        <f t="shared" si="37"/>
        <v>77.30399163568165</v>
      </c>
      <c r="N129" s="288">
        <f t="shared" si="38"/>
        <v>1</v>
      </c>
      <c r="O129" s="169"/>
      <c r="P129" s="169">
        <v>38</v>
      </c>
      <c r="Q129" s="169">
        <v>0</v>
      </c>
      <c r="R129" s="169">
        <f t="shared" si="39"/>
        <v>38</v>
      </c>
      <c r="S129" s="169">
        <f t="shared" si="40"/>
        <v>77.30399163568165</v>
      </c>
      <c r="T129" s="169"/>
      <c r="U129" s="125"/>
      <c r="V129" s="47"/>
      <c r="W129" s="47"/>
      <c r="X129" s="26"/>
    </row>
    <row r="130" spans="1:24" ht="15" customHeight="1">
      <c r="A130" s="256" t="s">
        <v>486</v>
      </c>
      <c r="B130" s="256" t="s">
        <v>295</v>
      </c>
      <c r="C130" s="304">
        <v>1872</v>
      </c>
      <c r="D130" s="306" t="s">
        <v>195</v>
      </c>
      <c r="E130" s="256" t="s">
        <v>309</v>
      </c>
      <c r="F130" s="259">
        <v>30</v>
      </c>
      <c r="G130" s="259">
        <v>1.63</v>
      </c>
      <c r="H130" s="259">
        <f t="shared" si="35"/>
        <v>48.9</v>
      </c>
      <c r="I130" s="259">
        <f>(G130*J19)+G130</f>
        <v>2.021911206132238</v>
      </c>
      <c r="J130" s="262">
        <f t="shared" si="36"/>
        <v>60.657336183967146</v>
      </c>
      <c r="K130" s="285">
        <f t="shared" si="29"/>
        <v>30</v>
      </c>
      <c r="L130" s="286">
        <f t="shared" si="30"/>
        <v>2.021911206132238</v>
      </c>
      <c r="M130" s="287">
        <f t="shared" si="37"/>
        <v>60.657336183967146</v>
      </c>
      <c r="N130" s="288">
        <f t="shared" si="38"/>
        <v>1</v>
      </c>
      <c r="O130" s="169"/>
      <c r="P130" s="169">
        <v>30</v>
      </c>
      <c r="Q130" s="169">
        <v>0</v>
      </c>
      <c r="R130" s="169">
        <f t="shared" si="39"/>
        <v>30</v>
      </c>
      <c r="S130" s="169">
        <f t="shared" si="40"/>
        <v>60.657336183967146</v>
      </c>
      <c r="T130" s="169"/>
      <c r="U130" s="125"/>
      <c r="V130" s="47"/>
      <c r="W130" s="47"/>
      <c r="X130" s="26"/>
    </row>
    <row r="131" spans="1:24" ht="13.5" customHeight="1">
      <c r="A131" s="256" t="s">
        <v>487</v>
      </c>
      <c r="B131" s="256" t="s">
        <v>295</v>
      </c>
      <c r="C131" s="304">
        <v>1873</v>
      </c>
      <c r="D131" s="306" t="s">
        <v>196</v>
      </c>
      <c r="E131" s="256" t="s">
        <v>309</v>
      </c>
      <c r="F131" s="259">
        <v>15</v>
      </c>
      <c r="G131" s="259">
        <v>2.58</v>
      </c>
      <c r="H131" s="259">
        <f t="shared" si="35"/>
        <v>38.7</v>
      </c>
      <c r="I131" s="259">
        <f>(G131*J19)+G131</f>
        <v>3.2003257127737275</v>
      </c>
      <c r="J131" s="262">
        <f t="shared" si="36"/>
        <v>48.004885691605914</v>
      </c>
      <c r="K131" s="285">
        <f t="shared" si="29"/>
        <v>15</v>
      </c>
      <c r="L131" s="286">
        <f t="shared" si="30"/>
        <v>3.2003257127737275</v>
      </c>
      <c r="M131" s="287">
        <f t="shared" si="37"/>
        <v>48.004885691605914</v>
      </c>
      <c r="N131" s="288">
        <f t="shared" si="38"/>
        <v>1</v>
      </c>
      <c r="O131" s="169"/>
      <c r="P131" s="169">
        <v>15</v>
      </c>
      <c r="Q131" s="169">
        <v>0</v>
      </c>
      <c r="R131" s="169">
        <f t="shared" si="39"/>
        <v>15</v>
      </c>
      <c r="S131" s="169">
        <f t="shared" si="40"/>
        <v>48.004885691605914</v>
      </c>
      <c r="T131" s="169"/>
      <c r="U131" s="125"/>
      <c r="V131" s="47"/>
      <c r="W131" s="47"/>
      <c r="X131" s="26"/>
    </row>
    <row r="132" spans="1:24" ht="12.75">
      <c r="A132" s="256" t="s">
        <v>488</v>
      </c>
      <c r="B132" s="256" t="s">
        <v>295</v>
      </c>
      <c r="C132" s="308" t="s">
        <v>217</v>
      </c>
      <c r="D132" s="305" t="s">
        <v>155</v>
      </c>
      <c r="E132" s="256" t="s">
        <v>309</v>
      </c>
      <c r="F132" s="259">
        <v>9</v>
      </c>
      <c r="G132" s="259">
        <v>36.34</v>
      </c>
      <c r="H132" s="259">
        <f t="shared" si="35"/>
        <v>327.06000000000006</v>
      </c>
      <c r="I132" s="259">
        <f>(G132*J19)+G132</f>
        <v>45.077455969843896</v>
      </c>
      <c r="J132" s="262">
        <f t="shared" si="36"/>
        <v>405.69710372859504</v>
      </c>
      <c r="K132" s="285">
        <f t="shared" si="29"/>
        <v>9</v>
      </c>
      <c r="L132" s="286">
        <f t="shared" si="30"/>
        <v>45.077455969843896</v>
      </c>
      <c r="M132" s="287">
        <f t="shared" si="37"/>
        <v>405.69710372859504</v>
      </c>
      <c r="N132" s="288">
        <f t="shared" si="38"/>
        <v>1</v>
      </c>
      <c r="O132" s="169"/>
      <c r="P132" s="169">
        <v>9</v>
      </c>
      <c r="Q132" s="169">
        <v>0</v>
      </c>
      <c r="R132" s="169">
        <f t="shared" si="39"/>
        <v>9</v>
      </c>
      <c r="S132" s="169">
        <f t="shared" si="40"/>
        <v>405.69710372859504</v>
      </c>
      <c r="T132" s="169"/>
      <c r="U132" s="125"/>
      <c r="V132" s="47"/>
      <c r="W132" s="47"/>
      <c r="X132" s="26"/>
    </row>
    <row r="133" spans="1:24" ht="12.75">
      <c r="A133" s="256" t="s">
        <v>210</v>
      </c>
      <c r="B133" s="256" t="s">
        <v>295</v>
      </c>
      <c r="C133" s="308" t="s">
        <v>219</v>
      </c>
      <c r="D133" s="305" t="s">
        <v>156</v>
      </c>
      <c r="E133" s="256" t="s">
        <v>309</v>
      </c>
      <c r="F133" s="259">
        <v>1</v>
      </c>
      <c r="G133" s="259">
        <v>61.54</v>
      </c>
      <c r="H133" s="259">
        <f t="shared" si="35"/>
        <v>61.54</v>
      </c>
      <c r="I133" s="259">
        <f>(G133*J19)+G133</f>
        <v>76.33645130391285</v>
      </c>
      <c r="J133" s="262">
        <f t="shared" si="36"/>
        <v>76.33645130391285</v>
      </c>
      <c r="K133" s="285">
        <f t="shared" si="29"/>
        <v>1</v>
      </c>
      <c r="L133" s="286">
        <f t="shared" si="30"/>
        <v>76.33645130391285</v>
      </c>
      <c r="M133" s="287">
        <f t="shared" si="37"/>
        <v>76.33645130391285</v>
      </c>
      <c r="N133" s="288">
        <f t="shared" si="38"/>
        <v>1</v>
      </c>
      <c r="O133" s="169"/>
      <c r="P133" s="169">
        <v>1</v>
      </c>
      <c r="Q133" s="169">
        <v>0</v>
      </c>
      <c r="R133" s="169">
        <f t="shared" si="39"/>
        <v>1</v>
      </c>
      <c r="S133" s="169">
        <f t="shared" si="40"/>
        <v>76.33645130391285</v>
      </c>
      <c r="T133" s="169"/>
      <c r="U133" s="125"/>
      <c r="V133" s="47"/>
      <c r="W133" s="47"/>
      <c r="X133" s="26"/>
    </row>
    <row r="134" spans="1:24" ht="33.75">
      <c r="A134" s="256" t="s">
        <v>211</v>
      </c>
      <c r="B134" s="256" t="s">
        <v>295</v>
      </c>
      <c r="C134" s="308" t="s">
        <v>197</v>
      </c>
      <c r="D134" s="305" t="s">
        <v>198</v>
      </c>
      <c r="E134" s="256" t="s">
        <v>309</v>
      </c>
      <c r="F134" s="259">
        <f>'[1]MEMÓRIA CÁLCULO'!J366</f>
        <v>2</v>
      </c>
      <c r="G134" s="259">
        <v>67.94</v>
      </c>
      <c r="H134" s="259">
        <f t="shared" si="35"/>
        <v>135.88</v>
      </c>
      <c r="I134" s="259">
        <f>(G134*J19)+G134</f>
        <v>84.27524376970814</v>
      </c>
      <c r="J134" s="262">
        <f t="shared" si="36"/>
        <v>168.55048753941628</v>
      </c>
      <c r="K134" s="285">
        <f aca="true" t="shared" si="41" ref="K134:K156">F134-Q134</f>
        <v>2</v>
      </c>
      <c r="L134" s="286">
        <f aca="true" t="shared" si="42" ref="L134:L156">(G134*J$19)+G134</f>
        <v>84.27524376970814</v>
      </c>
      <c r="M134" s="287">
        <f t="shared" si="37"/>
        <v>168.55048753941628</v>
      </c>
      <c r="N134" s="288">
        <f t="shared" si="38"/>
        <v>1</v>
      </c>
      <c r="O134" s="169"/>
      <c r="P134" s="169">
        <v>2</v>
      </c>
      <c r="Q134" s="169">
        <v>0</v>
      </c>
      <c r="R134" s="169">
        <f t="shared" si="39"/>
        <v>2</v>
      </c>
      <c r="S134" s="169">
        <f t="shared" si="40"/>
        <v>168.55048753941628</v>
      </c>
      <c r="T134" s="169"/>
      <c r="U134" s="125"/>
      <c r="V134" s="47"/>
      <c r="W134" s="47"/>
      <c r="X134" s="26"/>
    </row>
    <row r="135" spans="1:24" ht="12.75">
      <c r="A135" s="256" t="s">
        <v>212</v>
      </c>
      <c r="B135" s="256" t="s">
        <v>295</v>
      </c>
      <c r="C135" s="308" t="s">
        <v>473</v>
      </c>
      <c r="D135" s="305" t="s">
        <v>157</v>
      </c>
      <c r="E135" s="256" t="s">
        <v>309</v>
      </c>
      <c r="F135" s="259">
        <v>16</v>
      </c>
      <c r="G135" s="259">
        <v>61.89</v>
      </c>
      <c r="H135" s="259">
        <f t="shared" si="35"/>
        <v>990.24</v>
      </c>
      <c r="I135" s="259">
        <f>(G135*J19)+G135</f>
        <v>76.77060401688604</v>
      </c>
      <c r="J135" s="262">
        <f t="shared" si="36"/>
        <v>1228.3296642701766</v>
      </c>
      <c r="K135" s="285">
        <f t="shared" si="41"/>
        <v>16</v>
      </c>
      <c r="L135" s="286">
        <f t="shared" si="42"/>
        <v>76.77060401688604</v>
      </c>
      <c r="M135" s="287">
        <f t="shared" si="37"/>
        <v>1228.3296642701766</v>
      </c>
      <c r="N135" s="288">
        <f t="shared" si="38"/>
        <v>1</v>
      </c>
      <c r="O135" s="169"/>
      <c r="P135" s="169">
        <v>16</v>
      </c>
      <c r="Q135" s="169">
        <v>0</v>
      </c>
      <c r="R135" s="169">
        <f t="shared" si="39"/>
        <v>16</v>
      </c>
      <c r="S135" s="169">
        <f t="shared" si="40"/>
        <v>1228.3296642701766</v>
      </c>
      <c r="T135" s="169"/>
      <c r="U135" s="125"/>
      <c r="V135" s="47"/>
      <c r="W135" s="47"/>
      <c r="X135" s="26"/>
    </row>
    <row r="136" spans="1:24" ht="15" customHeight="1">
      <c r="A136" s="256" t="s">
        <v>213</v>
      </c>
      <c r="B136" s="256" t="s">
        <v>295</v>
      </c>
      <c r="C136" s="257" t="s">
        <v>199</v>
      </c>
      <c r="D136" s="307" t="s">
        <v>200</v>
      </c>
      <c r="E136" s="256" t="s">
        <v>278</v>
      </c>
      <c r="F136" s="259">
        <f>'[1]MEMÓRIA CÁLCULO'!J368</f>
        <v>330</v>
      </c>
      <c r="G136" s="259">
        <v>2.84</v>
      </c>
      <c r="H136" s="259">
        <f t="shared" si="35"/>
        <v>937.1999999999999</v>
      </c>
      <c r="I136" s="259">
        <f>(G136*J19)+G136</f>
        <v>3.522839156696661</v>
      </c>
      <c r="J136" s="262">
        <f t="shared" si="36"/>
        <v>1162.536921709898</v>
      </c>
      <c r="K136" s="285">
        <f t="shared" si="41"/>
        <v>330</v>
      </c>
      <c r="L136" s="286">
        <f t="shared" si="42"/>
        <v>3.522839156696661</v>
      </c>
      <c r="M136" s="287">
        <f t="shared" si="37"/>
        <v>1162.536921709898</v>
      </c>
      <c r="N136" s="288">
        <f t="shared" si="38"/>
        <v>1</v>
      </c>
      <c r="O136" s="169"/>
      <c r="P136" s="169">
        <v>330</v>
      </c>
      <c r="Q136" s="169">
        <v>0</v>
      </c>
      <c r="R136" s="169">
        <f t="shared" si="39"/>
        <v>330</v>
      </c>
      <c r="S136" s="169">
        <f t="shared" si="40"/>
        <v>1162.536921709898</v>
      </c>
      <c r="T136" s="169"/>
      <c r="U136" s="125"/>
      <c r="V136" s="47"/>
      <c r="W136" s="47"/>
      <c r="X136" s="26"/>
    </row>
    <row r="137" spans="1:24" ht="15" customHeight="1">
      <c r="A137" s="256" t="s">
        <v>214</v>
      </c>
      <c r="B137" s="256" t="s">
        <v>295</v>
      </c>
      <c r="C137" s="308" t="s">
        <v>201</v>
      </c>
      <c r="D137" s="306" t="s">
        <v>202</v>
      </c>
      <c r="E137" s="309" t="s">
        <v>278</v>
      </c>
      <c r="F137" s="259">
        <f>'[1]MEMÓRIA CÁLCULO'!J369</f>
        <v>330</v>
      </c>
      <c r="G137" s="259">
        <v>2.28</v>
      </c>
      <c r="H137" s="259">
        <f t="shared" si="35"/>
        <v>752.4</v>
      </c>
      <c r="I137" s="259">
        <f>(G137*J19)+G137</f>
        <v>2.8281948159395727</v>
      </c>
      <c r="J137" s="262">
        <f t="shared" si="36"/>
        <v>933.304289260059</v>
      </c>
      <c r="K137" s="285">
        <f t="shared" si="41"/>
        <v>330</v>
      </c>
      <c r="L137" s="286">
        <f t="shared" si="42"/>
        <v>2.8281948159395727</v>
      </c>
      <c r="M137" s="287">
        <f t="shared" si="37"/>
        <v>933.304289260059</v>
      </c>
      <c r="N137" s="288">
        <f t="shared" si="38"/>
        <v>1</v>
      </c>
      <c r="O137" s="169"/>
      <c r="P137" s="169">
        <v>330</v>
      </c>
      <c r="Q137" s="169">
        <v>0</v>
      </c>
      <c r="R137" s="169">
        <f t="shared" si="39"/>
        <v>330</v>
      </c>
      <c r="S137" s="169">
        <f t="shared" si="40"/>
        <v>933.304289260059</v>
      </c>
      <c r="T137" s="169"/>
      <c r="U137" s="125"/>
      <c r="V137" s="47"/>
      <c r="W137" s="47"/>
      <c r="X137" s="26"/>
    </row>
    <row r="138" spans="1:24" ht="15" customHeight="1">
      <c r="A138" s="256" t="s">
        <v>215</v>
      </c>
      <c r="B138" s="256" t="s">
        <v>295</v>
      </c>
      <c r="C138" s="257" t="s">
        <v>203</v>
      </c>
      <c r="D138" s="307" t="s">
        <v>204</v>
      </c>
      <c r="E138" s="256" t="s">
        <v>278</v>
      </c>
      <c r="F138" s="259">
        <v>40</v>
      </c>
      <c r="G138" s="259">
        <v>1.46</v>
      </c>
      <c r="H138" s="259">
        <f t="shared" si="35"/>
        <v>58.4</v>
      </c>
      <c r="I138" s="259">
        <f>(G138*J19)+G138</f>
        <v>1.811037031259551</v>
      </c>
      <c r="J138" s="262">
        <f t="shared" si="36"/>
        <v>72.44148125038204</v>
      </c>
      <c r="K138" s="285">
        <f t="shared" si="41"/>
        <v>40</v>
      </c>
      <c r="L138" s="286">
        <f t="shared" si="42"/>
        <v>1.811037031259551</v>
      </c>
      <c r="M138" s="287">
        <f t="shared" si="37"/>
        <v>72.44148125038204</v>
      </c>
      <c r="N138" s="288">
        <f t="shared" si="38"/>
        <v>1</v>
      </c>
      <c r="O138" s="169"/>
      <c r="P138" s="169">
        <v>40</v>
      </c>
      <c r="Q138" s="169">
        <v>0</v>
      </c>
      <c r="R138" s="169">
        <f t="shared" si="39"/>
        <v>40</v>
      </c>
      <c r="S138" s="169">
        <f t="shared" si="40"/>
        <v>72.44148125038204</v>
      </c>
      <c r="T138" s="169"/>
      <c r="U138" s="125"/>
      <c r="V138" s="47"/>
      <c r="W138" s="47"/>
      <c r="X138" s="26"/>
    </row>
    <row r="139" spans="1:24" ht="12.75">
      <c r="A139" s="256" t="s">
        <v>216</v>
      </c>
      <c r="B139" s="256" t="s">
        <v>295</v>
      </c>
      <c r="C139" s="307">
        <v>72254</v>
      </c>
      <c r="D139" s="306" t="s">
        <v>205</v>
      </c>
      <c r="E139" s="309" t="s">
        <v>278</v>
      </c>
      <c r="F139" s="260">
        <v>40</v>
      </c>
      <c r="G139" s="259">
        <v>14.68</v>
      </c>
      <c r="H139" s="259">
        <f t="shared" si="35"/>
        <v>587.2</v>
      </c>
      <c r="I139" s="259">
        <f>(G139*J19)+G139</f>
        <v>18.209605218417952</v>
      </c>
      <c r="J139" s="262">
        <f t="shared" si="36"/>
        <v>728.384208736718</v>
      </c>
      <c r="K139" s="285">
        <f t="shared" si="41"/>
        <v>40</v>
      </c>
      <c r="L139" s="286">
        <f t="shared" si="42"/>
        <v>18.209605218417952</v>
      </c>
      <c r="M139" s="287">
        <f t="shared" si="37"/>
        <v>728.384208736718</v>
      </c>
      <c r="N139" s="288">
        <f t="shared" si="38"/>
        <v>1</v>
      </c>
      <c r="O139" s="169"/>
      <c r="P139" s="176">
        <v>40</v>
      </c>
      <c r="Q139" s="169">
        <v>0</v>
      </c>
      <c r="R139" s="169">
        <f t="shared" si="39"/>
        <v>40</v>
      </c>
      <c r="S139" s="169">
        <f t="shared" si="40"/>
        <v>728.384208736718</v>
      </c>
      <c r="T139" s="169"/>
      <c r="U139" s="125"/>
      <c r="V139" s="47"/>
      <c r="W139" s="47"/>
      <c r="X139" s="26"/>
    </row>
    <row r="140" spans="1:24" ht="22.5">
      <c r="A140" s="256" t="s">
        <v>575</v>
      </c>
      <c r="B140" s="256" t="s">
        <v>295</v>
      </c>
      <c r="C140" s="320" t="s">
        <v>206</v>
      </c>
      <c r="D140" s="305" t="s">
        <v>207</v>
      </c>
      <c r="E140" s="256" t="s">
        <v>309</v>
      </c>
      <c r="F140" s="321">
        <v>14</v>
      </c>
      <c r="G140" s="322">
        <v>44.17</v>
      </c>
      <c r="H140" s="259">
        <f t="shared" si="35"/>
        <v>618.38</v>
      </c>
      <c r="I140" s="259">
        <f>(G140*J19)+G140</f>
        <v>54.790072377215324</v>
      </c>
      <c r="J140" s="262">
        <f t="shared" si="36"/>
        <v>767.0610132810145</v>
      </c>
      <c r="K140" s="285">
        <f t="shared" si="41"/>
        <v>14</v>
      </c>
      <c r="L140" s="286">
        <f t="shared" si="42"/>
        <v>54.790072377215324</v>
      </c>
      <c r="M140" s="287">
        <f t="shared" si="37"/>
        <v>767.0610132810145</v>
      </c>
      <c r="N140" s="288">
        <f t="shared" si="38"/>
        <v>1</v>
      </c>
      <c r="O140" s="169"/>
      <c r="P140" s="174">
        <v>14</v>
      </c>
      <c r="Q140" s="169">
        <v>0</v>
      </c>
      <c r="R140" s="169">
        <f t="shared" si="39"/>
        <v>14</v>
      </c>
      <c r="S140" s="169">
        <f t="shared" si="40"/>
        <v>767.0610132810145</v>
      </c>
      <c r="T140" s="169"/>
      <c r="U140" s="125"/>
      <c r="V140" s="47"/>
      <c r="W140" s="47"/>
      <c r="X140" s="26"/>
    </row>
    <row r="141" spans="1:24" ht="12.75">
      <c r="A141" s="310" t="s">
        <v>576</v>
      </c>
      <c r="B141" s="310" t="s">
        <v>295</v>
      </c>
      <c r="C141" s="311" t="s">
        <v>208</v>
      </c>
      <c r="D141" s="208" t="s">
        <v>209</v>
      </c>
      <c r="E141" s="310" t="s">
        <v>309</v>
      </c>
      <c r="F141" s="312">
        <v>10</v>
      </c>
      <c r="G141" s="313">
        <v>15.5</v>
      </c>
      <c r="H141" s="314">
        <f t="shared" si="35"/>
        <v>155</v>
      </c>
      <c r="I141" s="314">
        <f>(G141*J19)+G141</f>
        <v>19.22676300309797</v>
      </c>
      <c r="J141" s="315">
        <f t="shared" si="36"/>
        <v>192.26763003097972</v>
      </c>
      <c r="K141" s="316">
        <f t="shared" si="41"/>
        <v>10</v>
      </c>
      <c r="L141" s="317">
        <f t="shared" si="42"/>
        <v>19.22676300309797</v>
      </c>
      <c r="M141" s="318">
        <f t="shared" si="37"/>
        <v>192.26763003097972</v>
      </c>
      <c r="N141" s="319">
        <f t="shared" si="38"/>
        <v>1</v>
      </c>
      <c r="O141" s="169"/>
      <c r="P141" s="176">
        <v>10</v>
      </c>
      <c r="Q141" s="169">
        <v>0</v>
      </c>
      <c r="R141" s="169">
        <f t="shared" si="39"/>
        <v>10</v>
      </c>
      <c r="S141" s="169">
        <f t="shared" si="40"/>
        <v>192.26763003097972</v>
      </c>
      <c r="T141" s="169"/>
      <c r="U141" s="125"/>
      <c r="V141" s="47"/>
      <c r="W141" s="47"/>
      <c r="X141" s="26"/>
    </row>
    <row r="142" spans="1:24" ht="12.75">
      <c r="A142" s="198" t="s">
        <v>391</v>
      </c>
      <c r="B142" s="205"/>
      <c r="C142" s="205"/>
      <c r="D142" s="199" t="s">
        <v>382</v>
      </c>
      <c r="E142" s="202"/>
      <c r="F142" s="172"/>
      <c r="G142" s="172"/>
      <c r="H142" s="172"/>
      <c r="I142" s="172"/>
      <c r="J142" s="232">
        <f>SUM(J143:J156)</f>
        <v>24949.756300379053</v>
      </c>
      <c r="K142" s="237">
        <f t="shared" si="41"/>
        <v>0</v>
      </c>
      <c r="L142" s="238">
        <f t="shared" si="42"/>
        <v>0</v>
      </c>
      <c r="M142" s="235">
        <f>SUM(M143:M156)</f>
        <v>24949.756300379053</v>
      </c>
      <c r="N142" s="239"/>
      <c r="O142" s="168"/>
      <c r="P142" s="169"/>
      <c r="Q142" s="168">
        <v>0</v>
      </c>
      <c r="R142" s="169">
        <f t="shared" si="39"/>
        <v>0</v>
      </c>
      <c r="S142" s="169">
        <f t="shared" si="40"/>
        <v>0</v>
      </c>
      <c r="T142" s="168"/>
      <c r="U142" s="124">
        <f>J142</f>
        <v>24949.756300379053</v>
      </c>
      <c r="X142" s="7"/>
    </row>
    <row r="143" spans="1:24" ht="12.75">
      <c r="A143" s="250" t="s">
        <v>398</v>
      </c>
      <c r="B143" s="250" t="s">
        <v>295</v>
      </c>
      <c r="C143" s="251">
        <v>9537</v>
      </c>
      <c r="D143" s="252" t="s">
        <v>337</v>
      </c>
      <c r="E143" s="250" t="s">
        <v>276</v>
      </c>
      <c r="F143" s="270">
        <f>F23</f>
        <v>461.21</v>
      </c>
      <c r="G143" s="271">
        <v>0.9</v>
      </c>
      <c r="H143" s="270">
        <f aca="true" t="shared" si="43" ref="H143:H156">F143*G143</f>
        <v>415.089</v>
      </c>
      <c r="I143" s="270">
        <f>(G143*J19)+G143</f>
        <v>1.116392690502463</v>
      </c>
      <c r="J143" s="255">
        <f aca="true" t="shared" si="44" ref="J143:J156">F143*I143</f>
        <v>514.891472786641</v>
      </c>
      <c r="K143" s="281">
        <f t="shared" si="41"/>
        <v>461.21</v>
      </c>
      <c r="L143" s="282">
        <f t="shared" si="42"/>
        <v>1.116392690502463</v>
      </c>
      <c r="M143" s="283">
        <f aca="true" t="shared" si="45" ref="M143:M156">K143*L143</f>
        <v>514.891472786641</v>
      </c>
      <c r="N143" s="284">
        <f aca="true" t="shared" si="46" ref="N143:N156">K143/F143</f>
        <v>1</v>
      </c>
      <c r="O143" s="169"/>
      <c r="P143" s="169">
        <v>461.21</v>
      </c>
      <c r="Q143" s="169">
        <v>0</v>
      </c>
      <c r="R143" s="169">
        <f t="shared" si="39"/>
        <v>461.21</v>
      </c>
      <c r="S143" s="169">
        <f t="shared" si="40"/>
        <v>514.891472786641</v>
      </c>
      <c r="T143" s="169"/>
      <c r="U143" s="126"/>
      <c r="V143" s="45"/>
      <c r="X143" s="6"/>
    </row>
    <row r="144" spans="1:24" ht="12.75">
      <c r="A144" s="256" t="s">
        <v>455</v>
      </c>
      <c r="B144" s="256" t="s">
        <v>294</v>
      </c>
      <c r="C144" s="257" t="s">
        <v>252</v>
      </c>
      <c r="D144" s="258" t="s">
        <v>253</v>
      </c>
      <c r="E144" s="256" t="s">
        <v>276</v>
      </c>
      <c r="F144" s="259">
        <f>'[1]MEMÓRIA CÁLCULO'!J259</f>
        <v>56.019999999999996</v>
      </c>
      <c r="G144" s="259">
        <v>9.26</v>
      </c>
      <c r="H144" s="259">
        <f t="shared" si="43"/>
        <v>518.7452</v>
      </c>
      <c r="I144" s="259">
        <f>(G144*J19)+G144</f>
        <v>11.486440348947564</v>
      </c>
      <c r="J144" s="262">
        <f t="shared" si="44"/>
        <v>643.4703883480425</v>
      </c>
      <c r="K144" s="285">
        <f t="shared" si="41"/>
        <v>56.019999999999996</v>
      </c>
      <c r="L144" s="286">
        <f t="shared" si="42"/>
        <v>11.486440348947564</v>
      </c>
      <c r="M144" s="287">
        <f t="shared" si="45"/>
        <v>643.4703883480425</v>
      </c>
      <c r="N144" s="288">
        <f t="shared" si="46"/>
        <v>1</v>
      </c>
      <c r="O144" s="169"/>
      <c r="P144" s="169">
        <v>56.02</v>
      </c>
      <c r="Q144" s="169">
        <v>0</v>
      </c>
      <c r="R144" s="169">
        <f t="shared" si="39"/>
        <v>56.02</v>
      </c>
      <c r="S144" s="169">
        <f t="shared" si="40"/>
        <v>643.4703883480425</v>
      </c>
      <c r="T144" s="169"/>
      <c r="U144" s="126"/>
      <c r="X144" s="7"/>
    </row>
    <row r="145" spans="1:24" ht="12.75">
      <c r="A145" s="256" t="s">
        <v>634</v>
      </c>
      <c r="B145" s="256"/>
      <c r="C145" s="256" t="s">
        <v>597</v>
      </c>
      <c r="D145" s="258" t="s">
        <v>611</v>
      </c>
      <c r="E145" s="256" t="s">
        <v>276</v>
      </c>
      <c r="F145" s="259">
        <f>'[1]MEMÓRIA CÁLCULO'!J330</f>
        <v>27.450000000000003</v>
      </c>
      <c r="G145" s="259">
        <v>85</v>
      </c>
      <c r="H145" s="259">
        <f t="shared" si="43"/>
        <v>2333.2500000000005</v>
      </c>
      <c r="I145" s="259">
        <f>(G145*J19)+G145</f>
        <v>105.43708743634372</v>
      </c>
      <c r="J145" s="262">
        <f t="shared" si="44"/>
        <v>2894.2480501276355</v>
      </c>
      <c r="K145" s="285">
        <f t="shared" si="41"/>
        <v>27.450000000000003</v>
      </c>
      <c r="L145" s="286">
        <f t="shared" si="42"/>
        <v>105.43708743634372</v>
      </c>
      <c r="M145" s="287">
        <f t="shared" si="45"/>
        <v>2894.2480501276355</v>
      </c>
      <c r="N145" s="288">
        <f t="shared" si="46"/>
        <v>1</v>
      </c>
      <c r="O145" s="169"/>
      <c r="P145" s="169">
        <v>27.45</v>
      </c>
      <c r="Q145" s="169">
        <v>0</v>
      </c>
      <c r="R145" s="169">
        <f t="shared" si="39"/>
        <v>27.45</v>
      </c>
      <c r="S145" s="169">
        <f t="shared" si="40"/>
        <v>2894.248050127635</v>
      </c>
      <c r="T145" s="169"/>
      <c r="U145" s="126"/>
      <c r="X145" s="7"/>
    </row>
    <row r="146" spans="1:24" ht="12.75">
      <c r="A146" s="256" t="s">
        <v>251</v>
      </c>
      <c r="B146" s="256"/>
      <c r="C146" s="256" t="s">
        <v>597</v>
      </c>
      <c r="D146" s="258" t="s">
        <v>627</v>
      </c>
      <c r="E146" s="256" t="s">
        <v>278</v>
      </c>
      <c r="F146" s="259">
        <f>'[1]MEMÓRIA CÁLCULO'!J290</f>
        <v>187.9</v>
      </c>
      <c r="G146" s="259">
        <v>40</v>
      </c>
      <c r="H146" s="259">
        <f t="shared" si="43"/>
        <v>7516</v>
      </c>
      <c r="I146" s="259">
        <f>(G146*J19)+G146</f>
        <v>49.617452911220575</v>
      </c>
      <c r="J146" s="262">
        <f t="shared" si="44"/>
        <v>9323.119402018347</v>
      </c>
      <c r="K146" s="285">
        <f t="shared" si="41"/>
        <v>187.9</v>
      </c>
      <c r="L146" s="286">
        <f t="shared" si="42"/>
        <v>49.617452911220575</v>
      </c>
      <c r="M146" s="287">
        <f t="shared" si="45"/>
        <v>9323.119402018347</v>
      </c>
      <c r="N146" s="288">
        <f t="shared" si="46"/>
        <v>1</v>
      </c>
      <c r="O146" s="169"/>
      <c r="P146" s="169">
        <v>187.9</v>
      </c>
      <c r="Q146" s="169">
        <v>0</v>
      </c>
      <c r="R146" s="169">
        <f t="shared" si="39"/>
        <v>187.9</v>
      </c>
      <c r="S146" s="169">
        <f t="shared" si="40"/>
        <v>9323.119402018347</v>
      </c>
      <c r="T146" s="169"/>
      <c r="U146" s="126"/>
      <c r="X146" s="7"/>
    </row>
    <row r="147" spans="1:24" ht="12.75">
      <c r="A147" s="256" t="s">
        <v>261</v>
      </c>
      <c r="B147" s="256"/>
      <c r="C147" s="256" t="s">
        <v>597</v>
      </c>
      <c r="D147" s="258" t="s">
        <v>618</v>
      </c>
      <c r="E147" s="256" t="s">
        <v>278</v>
      </c>
      <c r="F147" s="259">
        <f>'[1]MEMÓRIA CÁLCULO'!E273+'[1]MEMÓRIA CÁLCULO'!E278</f>
        <v>7.97</v>
      </c>
      <c r="G147" s="259">
        <v>65</v>
      </c>
      <c r="H147" s="259">
        <f t="shared" si="43"/>
        <v>518.05</v>
      </c>
      <c r="I147" s="259">
        <f>(G147*J19)+G147</f>
        <v>80.62836098073343</v>
      </c>
      <c r="J147" s="262">
        <f t="shared" si="44"/>
        <v>642.6080370164455</v>
      </c>
      <c r="K147" s="285">
        <f t="shared" si="41"/>
        <v>7.97</v>
      </c>
      <c r="L147" s="286">
        <f t="shared" si="42"/>
        <v>80.62836098073343</v>
      </c>
      <c r="M147" s="287">
        <f t="shared" si="45"/>
        <v>642.6080370164455</v>
      </c>
      <c r="N147" s="288">
        <f t="shared" si="46"/>
        <v>1</v>
      </c>
      <c r="O147" s="169"/>
      <c r="P147" s="169">
        <v>7.97</v>
      </c>
      <c r="Q147" s="169">
        <v>0</v>
      </c>
      <c r="R147" s="169">
        <f t="shared" si="39"/>
        <v>7.97</v>
      </c>
      <c r="S147" s="169">
        <f t="shared" si="40"/>
        <v>642.6080370164455</v>
      </c>
      <c r="T147" s="169"/>
      <c r="U147" s="126"/>
      <c r="X147" s="7"/>
    </row>
    <row r="148" spans="1:24" ht="12.75">
      <c r="A148" s="256" t="s">
        <v>262</v>
      </c>
      <c r="B148" s="256"/>
      <c r="C148" s="256" t="s">
        <v>597</v>
      </c>
      <c r="D148" s="258" t="s">
        <v>619</v>
      </c>
      <c r="E148" s="256" t="s">
        <v>278</v>
      </c>
      <c r="F148" s="259">
        <f>'[1]MEMÓRIA CÁLCULO'!E283+'[1]MEMÓRIA CÁLCULO'!E288</f>
        <v>24.740000000000002</v>
      </c>
      <c r="G148" s="259">
        <v>57</v>
      </c>
      <c r="H148" s="259">
        <f t="shared" si="43"/>
        <v>1410.18</v>
      </c>
      <c r="I148" s="259">
        <f>(G148*J19)+G148</f>
        <v>70.70487039848932</v>
      </c>
      <c r="J148" s="262">
        <f t="shared" si="44"/>
        <v>1749.2384936586259</v>
      </c>
      <c r="K148" s="285">
        <f t="shared" si="41"/>
        <v>24.740000000000002</v>
      </c>
      <c r="L148" s="286">
        <f t="shared" si="42"/>
        <v>70.70487039848932</v>
      </c>
      <c r="M148" s="287">
        <f t="shared" si="45"/>
        <v>1749.2384936586259</v>
      </c>
      <c r="N148" s="288">
        <f t="shared" si="46"/>
        <v>1</v>
      </c>
      <c r="O148" s="169"/>
      <c r="P148" s="169">
        <v>24.74</v>
      </c>
      <c r="Q148" s="169">
        <v>0</v>
      </c>
      <c r="R148" s="169">
        <f t="shared" si="39"/>
        <v>24.74</v>
      </c>
      <c r="S148" s="169">
        <f t="shared" si="40"/>
        <v>1749.2384936586257</v>
      </c>
      <c r="T148" s="169"/>
      <c r="U148" s="126"/>
      <c r="X148" s="7"/>
    </row>
    <row r="149" spans="1:24" ht="12.75">
      <c r="A149" s="256" t="s">
        <v>263</v>
      </c>
      <c r="B149" s="256"/>
      <c r="C149" s="256" t="s">
        <v>597</v>
      </c>
      <c r="D149" s="258" t="s">
        <v>607</v>
      </c>
      <c r="E149" s="256" t="s">
        <v>278</v>
      </c>
      <c r="F149" s="259">
        <f>'[1]MEMÓRIA CÁLCULO'!J322</f>
        <v>166.6</v>
      </c>
      <c r="G149" s="259">
        <v>7.5</v>
      </c>
      <c r="H149" s="259">
        <f t="shared" si="43"/>
        <v>1249.5</v>
      </c>
      <c r="I149" s="259">
        <f>(G149*J19)+G149</f>
        <v>9.303272420853858</v>
      </c>
      <c r="J149" s="262">
        <f t="shared" si="44"/>
        <v>1549.9251853142528</v>
      </c>
      <c r="K149" s="285">
        <f t="shared" si="41"/>
        <v>166.6</v>
      </c>
      <c r="L149" s="286">
        <f t="shared" si="42"/>
        <v>9.303272420853858</v>
      </c>
      <c r="M149" s="287">
        <f t="shared" si="45"/>
        <v>1549.9251853142528</v>
      </c>
      <c r="N149" s="288">
        <f t="shared" si="46"/>
        <v>1</v>
      </c>
      <c r="O149" s="169"/>
      <c r="P149" s="169">
        <v>166.6</v>
      </c>
      <c r="Q149" s="169">
        <v>0</v>
      </c>
      <c r="R149" s="169">
        <f t="shared" si="39"/>
        <v>166.6</v>
      </c>
      <c r="S149" s="169">
        <f t="shared" si="40"/>
        <v>1549.9251853142528</v>
      </c>
      <c r="T149" s="169"/>
      <c r="U149" s="126"/>
      <c r="X149" s="7"/>
    </row>
    <row r="150" spans="1:24" ht="12.75">
      <c r="A150" s="256" t="s">
        <v>120</v>
      </c>
      <c r="B150" s="256" t="s">
        <v>295</v>
      </c>
      <c r="C150" s="257" t="s">
        <v>254</v>
      </c>
      <c r="D150" s="258" t="s">
        <v>633</v>
      </c>
      <c r="E150" s="256" t="s">
        <v>276</v>
      </c>
      <c r="F150" s="259">
        <f>'[1]MEMÓRIA CÁLCULO'!J312+'[1]MEMÓRIA CÁLCULO'!J308</f>
        <v>146.51999999999998</v>
      </c>
      <c r="G150" s="259">
        <v>9.64</v>
      </c>
      <c r="H150" s="259">
        <f t="shared" si="43"/>
        <v>1412.4527999999998</v>
      </c>
      <c r="I150" s="259">
        <f>(G150*J19)+G150</f>
        <v>11.95780615160416</v>
      </c>
      <c r="J150" s="262">
        <f t="shared" si="44"/>
        <v>1752.0577573330413</v>
      </c>
      <c r="K150" s="285">
        <f t="shared" si="41"/>
        <v>146.51999999999998</v>
      </c>
      <c r="L150" s="286">
        <f t="shared" si="42"/>
        <v>11.95780615160416</v>
      </c>
      <c r="M150" s="287">
        <f t="shared" si="45"/>
        <v>1752.0577573330413</v>
      </c>
      <c r="N150" s="288">
        <f t="shared" si="46"/>
        <v>1</v>
      </c>
      <c r="O150" s="169"/>
      <c r="P150" s="169">
        <v>146.52</v>
      </c>
      <c r="Q150" s="169">
        <v>0</v>
      </c>
      <c r="R150" s="169">
        <f t="shared" si="39"/>
        <v>146.52</v>
      </c>
      <c r="S150" s="169">
        <f t="shared" si="40"/>
        <v>1752.0577573330418</v>
      </c>
      <c r="T150" s="169"/>
      <c r="U150" s="126"/>
      <c r="X150" s="7"/>
    </row>
    <row r="151" spans="1:24" ht="12.75">
      <c r="A151" s="256" t="s">
        <v>635</v>
      </c>
      <c r="B151" s="256" t="s">
        <v>294</v>
      </c>
      <c r="C151" s="257" t="s">
        <v>119</v>
      </c>
      <c r="D151" s="323" t="s">
        <v>642</v>
      </c>
      <c r="E151" s="256" t="s">
        <v>309</v>
      </c>
      <c r="F151" s="259">
        <v>2</v>
      </c>
      <c r="G151" s="259">
        <v>112.88</v>
      </c>
      <c r="H151" s="259">
        <f t="shared" si="43"/>
        <v>225.76</v>
      </c>
      <c r="I151" s="259">
        <f>(G151*J19)+G151</f>
        <v>140.02045211546445</v>
      </c>
      <c r="J151" s="262">
        <f t="shared" si="44"/>
        <v>280.0409042309289</v>
      </c>
      <c r="K151" s="285">
        <f t="shared" si="41"/>
        <v>2</v>
      </c>
      <c r="L151" s="286">
        <f t="shared" si="42"/>
        <v>140.02045211546445</v>
      </c>
      <c r="M151" s="287">
        <f t="shared" si="45"/>
        <v>280.0409042309289</v>
      </c>
      <c r="N151" s="288">
        <f t="shared" si="46"/>
        <v>1</v>
      </c>
      <c r="O151" s="169"/>
      <c r="P151" s="169">
        <v>2</v>
      </c>
      <c r="Q151" s="169">
        <v>0</v>
      </c>
      <c r="R151" s="169">
        <f aca="true" t="shared" si="47" ref="R151:R156">P151-Q151</f>
        <v>2</v>
      </c>
      <c r="S151" s="169">
        <f aca="true" t="shared" si="48" ref="S151:S156">R151*I151</f>
        <v>280.0409042309289</v>
      </c>
      <c r="T151" s="169"/>
      <c r="U151" s="126"/>
      <c r="X151" s="7"/>
    </row>
    <row r="152" spans="1:24" ht="12.75">
      <c r="A152" s="256" t="s">
        <v>636</v>
      </c>
      <c r="B152" s="256" t="s">
        <v>294</v>
      </c>
      <c r="C152" s="257" t="s">
        <v>644</v>
      </c>
      <c r="D152" s="323" t="s">
        <v>643</v>
      </c>
      <c r="E152" s="256" t="s">
        <v>309</v>
      </c>
      <c r="F152" s="259">
        <v>1</v>
      </c>
      <c r="G152" s="259">
        <v>112.88</v>
      </c>
      <c r="H152" s="259">
        <f t="shared" si="43"/>
        <v>112.88</v>
      </c>
      <c r="I152" s="259">
        <f>(G152*J19)+G152</f>
        <v>140.02045211546445</v>
      </c>
      <c r="J152" s="262">
        <f t="shared" si="44"/>
        <v>140.02045211546445</v>
      </c>
      <c r="K152" s="285">
        <f t="shared" si="41"/>
        <v>1</v>
      </c>
      <c r="L152" s="286">
        <f t="shared" si="42"/>
        <v>140.02045211546445</v>
      </c>
      <c r="M152" s="287">
        <f t="shared" si="45"/>
        <v>140.02045211546445</v>
      </c>
      <c r="N152" s="288">
        <f t="shared" si="46"/>
        <v>1</v>
      </c>
      <c r="O152" s="169"/>
      <c r="P152" s="169">
        <v>1</v>
      </c>
      <c r="Q152" s="169">
        <v>0</v>
      </c>
      <c r="R152" s="169">
        <f t="shared" si="47"/>
        <v>1</v>
      </c>
      <c r="S152" s="169">
        <f t="shared" si="48"/>
        <v>140.02045211546445</v>
      </c>
      <c r="T152" s="169"/>
      <c r="U152" s="126"/>
      <c r="X152" s="7"/>
    </row>
    <row r="153" spans="1:24" ht="12.75">
      <c r="A153" s="256" t="s">
        <v>637</v>
      </c>
      <c r="B153" s="256" t="s">
        <v>294</v>
      </c>
      <c r="C153" s="257" t="s">
        <v>122</v>
      </c>
      <c r="D153" s="323" t="s">
        <v>121</v>
      </c>
      <c r="E153" s="256" t="s">
        <v>309</v>
      </c>
      <c r="F153" s="259">
        <v>4</v>
      </c>
      <c r="G153" s="259">
        <v>60.96</v>
      </c>
      <c r="H153" s="259">
        <f t="shared" si="43"/>
        <v>243.84</v>
      </c>
      <c r="I153" s="259">
        <f>(G153*J19)+G153</f>
        <v>75.61699823670016</v>
      </c>
      <c r="J153" s="262">
        <f t="shared" si="44"/>
        <v>302.4679929468006</v>
      </c>
      <c r="K153" s="285">
        <f t="shared" si="41"/>
        <v>4</v>
      </c>
      <c r="L153" s="286">
        <f t="shared" si="42"/>
        <v>75.61699823670016</v>
      </c>
      <c r="M153" s="287">
        <f t="shared" si="45"/>
        <v>302.4679929468006</v>
      </c>
      <c r="N153" s="288">
        <f t="shared" si="46"/>
        <v>1</v>
      </c>
      <c r="O153" s="169"/>
      <c r="P153" s="169">
        <v>4</v>
      </c>
      <c r="Q153" s="169">
        <v>0</v>
      </c>
      <c r="R153" s="169">
        <f t="shared" si="47"/>
        <v>4</v>
      </c>
      <c r="S153" s="169">
        <f t="shared" si="48"/>
        <v>302.4679929468006</v>
      </c>
      <c r="T153" s="169"/>
      <c r="U153" s="126"/>
      <c r="X153" s="7"/>
    </row>
    <row r="154" spans="1:24" ht="12.75">
      <c r="A154" s="256" t="s">
        <v>638</v>
      </c>
      <c r="B154" s="256" t="s">
        <v>294</v>
      </c>
      <c r="C154" s="257" t="s">
        <v>123</v>
      </c>
      <c r="D154" s="323" t="s">
        <v>124</v>
      </c>
      <c r="E154" s="256" t="s">
        <v>309</v>
      </c>
      <c r="F154" s="259">
        <v>2</v>
      </c>
      <c r="G154" s="259">
        <v>17.72</v>
      </c>
      <c r="H154" s="259">
        <f t="shared" si="43"/>
        <v>35.44</v>
      </c>
      <c r="I154" s="259">
        <f>(G154*J19)+G154</f>
        <v>21.980531639670716</v>
      </c>
      <c r="J154" s="262">
        <f t="shared" si="44"/>
        <v>43.96106327934143</v>
      </c>
      <c r="K154" s="285">
        <f t="shared" si="41"/>
        <v>2</v>
      </c>
      <c r="L154" s="286">
        <f t="shared" si="42"/>
        <v>21.980531639670716</v>
      </c>
      <c r="M154" s="287">
        <f t="shared" si="45"/>
        <v>43.96106327934143</v>
      </c>
      <c r="N154" s="288">
        <f t="shared" si="46"/>
        <v>1</v>
      </c>
      <c r="O154" s="169"/>
      <c r="P154" s="169">
        <v>2</v>
      </c>
      <c r="Q154" s="169">
        <v>0</v>
      </c>
      <c r="R154" s="169">
        <f t="shared" si="47"/>
        <v>2</v>
      </c>
      <c r="S154" s="169">
        <f t="shared" si="48"/>
        <v>43.96106327934143</v>
      </c>
      <c r="T154" s="169"/>
      <c r="U154" s="126"/>
      <c r="X154" s="7"/>
    </row>
    <row r="155" spans="1:24" ht="22.5">
      <c r="A155" s="256" t="s">
        <v>645</v>
      </c>
      <c r="B155" s="256"/>
      <c r="C155" s="257" t="s">
        <v>597</v>
      </c>
      <c r="D155" s="324" t="s">
        <v>682</v>
      </c>
      <c r="E155" s="256" t="s">
        <v>309</v>
      </c>
      <c r="F155" s="259">
        <v>1</v>
      </c>
      <c r="G155" s="259">
        <v>40</v>
      </c>
      <c r="H155" s="259">
        <f t="shared" si="43"/>
        <v>40</v>
      </c>
      <c r="I155" s="259">
        <f>(G155*J19)+G155</f>
        <v>49.617452911220575</v>
      </c>
      <c r="J155" s="262">
        <f t="shared" si="44"/>
        <v>49.617452911220575</v>
      </c>
      <c r="K155" s="285">
        <f t="shared" si="41"/>
        <v>1</v>
      </c>
      <c r="L155" s="286">
        <f t="shared" si="42"/>
        <v>49.617452911220575</v>
      </c>
      <c r="M155" s="287">
        <f t="shared" si="45"/>
        <v>49.617452911220575</v>
      </c>
      <c r="N155" s="288">
        <f t="shared" si="46"/>
        <v>1</v>
      </c>
      <c r="O155" s="169"/>
      <c r="P155" s="169">
        <v>1</v>
      </c>
      <c r="Q155" s="169">
        <v>0</v>
      </c>
      <c r="R155" s="169">
        <f t="shared" si="47"/>
        <v>1</v>
      </c>
      <c r="S155" s="169">
        <f t="shared" si="48"/>
        <v>49.617452911220575</v>
      </c>
      <c r="T155" s="169"/>
      <c r="U155" s="126"/>
      <c r="X155" s="7"/>
    </row>
    <row r="156" spans="1:24" ht="12.75">
      <c r="A156" s="263" t="s">
        <v>646</v>
      </c>
      <c r="B156" s="263" t="s">
        <v>295</v>
      </c>
      <c r="C156" s="267">
        <v>73631</v>
      </c>
      <c r="D156" s="265" t="s">
        <v>566</v>
      </c>
      <c r="E156" s="263" t="s">
        <v>276</v>
      </c>
      <c r="F156" s="266">
        <f>'[1]MEMÓRIA CÁLCULO'!J344</f>
        <v>20.313000000000002</v>
      </c>
      <c r="G156" s="266">
        <v>200.98</v>
      </c>
      <c r="H156" s="266">
        <f t="shared" si="43"/>
        <v>4082.5067400000003</v>
      </c>
      <c r="I156" s="266">
        <f>(G156*J19)+G156</f>
        <v>249.30289215242777</v>
      </c>
      <c r="J156" s="269">
        <f t="shared" si="44"/>
        <v>5064.089648292266</v>
      </c>
      <c r="K156" s="289">
        <f t="shared" si="41"/>
        <v>20.313000000000002</v>
      </c>
      <c r="L156" s="290">
        <f t="shared" si="42"/>
        <v>249.30289215242777</v>
      </c>
      <c r="M156" s="291">
        <f t="shared" si="45"/>
        <v>5064.089648292266</v>
      </c>
      <c r="N156" s="292">
        <f t="shared" si="46"/>
        <v>1</v>
      </c>
      <c r="O156" s="169"/>
      <c r="P156" s="169">
        <v>20.313000000000002</v>
      </c>
      <c r="Q156" s="169">
        <v>0</v>
      </c>
      <c r="R156" s="169">
        <f t="shared" si="47"/>
        <v>20.313000000000002</v>
      </c>
      <c r="S156" s="169">
        <f t="shared" si="48"/>
        <v>5064.089648292266</v>
      </c>
      <c r="T156" s="169"/>
      <c r="U156" s="126"/>
      <c r="X156" s="7"/>
    </row>
    <row r="157" spans="1:24" ht="12.75">
      <c r="A157" s="198"/>
      <c r="B157" s="209"/>
      <c r="C157" s="209"/>
      <c r="D157" s="209" t="s">
        <v>288</v>
      </c>
      <c r="E157" s="198"/>
      <c r="F157" s="210"/>
      <c r="G157" s="210"/>
      <c r="H157" s="210"/>
      <c r="I157" s="210"/>
      <c r="J157" s="232">
        <f>J22+J26+J32+J37+J42+J51+J60+J68+J72+J87+J103+J112+J114+J142</f>
        <v>321708.9458877212</v>
      </c>
      <c r="K157" s="235"/>
      <c r="L157" s="235"/>
      <c r="M157" s="235">
        <f>M22+M26+M32+M37+M42+M51+M60+M68+M72+M87+M103+M112+M114+M142</f>
        <v>225251.295161642</v>
      </c>
      <c r="N157" s="292">
        <f>M157/J157</f>
        <v>0.7001710646873225</v>
      </c>
      <c r="O157" s="168"/>
      <c r="P157" s="168"/>
      <c r="Q157" s="168"/>
      <c r="R157" s="168"/>
      <c r="S157" s="168">
        <f>SUM(S23:S156)</f>
        <v>225251.29516164193</v>
      </c>
      <c r="T157" s="168"/>
      <c r="U157" s="127">
        <f>SUM(U22:U142)</f>
        <v>321708.9458877212</v>
      </c>
      <c r="X157" s="7"/>
    </row>
    <row r="158" spans="1:35" ht="24.75" customHeight="1">
      <c r="A158" s="462" t="s">
        <v>695</v>
      </c>
      <c r="B158" s="462"/>
      <c r="C158" s="462"/>
      <c r="D158" s="462"/>
      <c r="E158" s="462"/>
      <c r="F158" s="462"/>
      <c r="G158" s="462"/>
      <c r="H158" s="462"/>
      <c r="I158" s="462"/>
      <c r="J158" s="462"/>
      <c r="K158" s="171"/>
      <c r="L158" s="171"/>
      <c r="M158" s="171"/>
      <c r="N158" s="154"/>
      <c r="O158" s="154"/>
      <c r="P158" s="154"/>
      <c r="Q158" s="171"/>
      <c r="R158" s="171"/>
      <c r="S158" s="171"/>
      <c r="T158" s="17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2.75">
      <c r="A159" s="211" t="s">
        <v>178</v>
      </c>
      <c r="B159" s="211"/>
      <c r="C159" s="211"/>
      <c r="D159" s="211"/>
      <c r="E159" s="212"/>
      <c r="F159" s="213"/>
      <c r="G159" s="213"/>
      <c r="H159" s="213"/>
      <c r="I159" s="213"/>
      <c r="J159" s="213"/>
      <c r="K159" s="213"/>
      <c r="L159" s="213"/>
      <c r="M159" s="213"/>
      <c r="N159" s="79"/>
      <c r="O159" s="79"/>
      <c r="P159" s="79"/>
      <c r="Q159" s="79"/>
      <c r="R159" s="79"/>
      <c r="S159" s="79"/>
      <c r="T159" s="79"/>
      <c r="U159" s="5"/>
      <c r="V159" s="436">
        <f>W18</f>
        <v>307500</v>
      </c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5.25" customHeight="1">
      <c r="A160" s="5"/>
      <c r="B160" s="5"/>
      <c r="C160" s="5"/>
      <c r="D160" s="5"/>
      <c r="E160" s="55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5"/>
      <c r="V160" s="436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2.75">
      <c r="A161" s="5" t="s">
        <v>104</v>
      </c>
      <c r="B161" s="5"/>
      <c r="C161" s="5"/>
      <c r="D161" s="5"/>
      <c r="E161" s="55"/>
      <c r="F161" s="87"/>
      <c r="G161" s="88"/>
      <c r="H161" s="89"/>
      <c r="I161" s="90"/>
      <c r="J161" s="91"/>
      <c r="K161" s="91"/>
      <c r="L161" s="91"/>
      <c r="M161" s="91"/>
      <c r="N161" s="91"/>
      <c r="O161" s="91"/>
      <c r="P161" s="345">
        <v>1</v>
      </c>
      <c r="Q161" s="91"/>
      <c r="R161" s="91"/>
      <c r="S161" s="91"/>
      <c r="T161" s="91"/>
      <c r="U161" s="92"/>
      <c r="V161" s="91"/>
      <c r="W161" s="91"/>
      <c r="X161" s="91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2.75">
      <c r="A162" s="5" t="s">
        <v>679</v>
      </c>
      <c r="B162" s="5"/>
      <c r="C162" s="5"/>
      <c r="D162" s="5"/>
      <c r="E162" s="55"/>
      <c r="F162" s="87"/>
      <c r="G162" s="93"/>
      <c r="H162" s="89"/>
      <c r="I162" s="90"/>
      <c r="J162" s="91"/>
      <c r="K162" s="91"/>
      <c r="L162" s="91"/>
      <c r="M162" s="91"/>
      <c r="N162" s="91"/>
      <c r="O162" s="91"/>
      <c r="P162" s="345"/>
      <c r="Q162" s="91"/>
      <c r="R162" s="91"/>
      <c r="S162" s="91">
        <f>J157-S157</f>
        <v>96457.65072607927</v>
      </c>
      <c r="T162" s="91"/>
      <c r="U162" s="94">
        <v>321708.95</v>
      </c>
      <c r="V162" s="91"/>
      <c r="W162" s="91"/>
      <c r="X162" s="91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4.25">
      <c r="A163" s="5"/>
      <c r="B163" s="5"/>
      <c r="C163" s="438" t="s">
        <v>370</v>
      </c>
      <c r="D163" s="438"/>
      <c r="E163" s="35"/>
      <c r="F163" s="35"/>
      <c r="G163" s="35"/>
      <c r="H163" s="35"/>
      <c r="I163" s="79"/>
      <c r="J163" s="79"/>
      <c r="K163" s="79"/>
      <c r="L163" s="79"/>
      <c r="M163" s="79"/>
      <c r="N163" s="79"/>
      <c r="O163" s="79"/>
      <c r="P163" s="346">
        <f>P161-N157</f>
        <v>0.2998289353126775</v>
      </c>
      <c r="Q163" s="347" t="s">
        <v>699</v>
      </c>
      <c r="R163" s="79"/>
      <c r="S163" s="79"/>
      <c r="T163" s="79"/>
      <c r="U163" s="34">
        <f>U162-J157</f>
        <v>0.004112278809770942</v>
      </c>
      <c r="V163" s="5"/>
      <c r="W163" s="5"/>
      <c r="X163" s="30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3:21" ht="12.75">
      <c r="C164" s="438" t="s">
        <v>453</v>
      </c>
      <c r="D164" s="438"/>
      <c r="E164" s="35"/>
      <c r="F164" s="35"/>
      <c r="G164" s="35"/>
      <c r="H164" s="35"/>
      <c r="I164" s="3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6"/>
    </row>
    <row r="165" spans="1:21" ht="12.75">
      <c r="A165" s="437"/>
      <c r="B165" s="437"/>
      <c r="C165" s="437"/>
      <c r="D165" s="437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6"/>
    </row>
    <row r="166" spans="4:21" ht="12.75">
      <c r="D166" s="83"/>
      <c r="F166" s="132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6"/>
    </row>
    <row r="167" spans="4:6" ht="12.75">
      <c r="D167" s="83"/>
      <c r="F167" s="133"/>
    </row>
    <row r="168" spans="4:6" ht="12.75">
      <c r="D168" s="83"/>
      <c r="F168" s="13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spans="4:9" ht="12.75">
      <c r="D173" s="83"/>
      <c r="E173" s="134"/>
      <c r="F173" s="134"/>
      <c r="G173" s="134"/>
      <c r="H173" s="134"/>
      <c r="I173" s="134"/>
    </row>
    <row r="174" spans="4:6" ht="12.75">
      <c r="D174" s="83"/>
      <c r="F174" s="84"/>
    </row>
    <row r="175" spans="4:6" ht="12.75">
      <c r="D175" s="83"/>
      <c r="F175" s="84"/>
    </row>
    <row r="176" ht="12.75">
      <c r="D176" s="83"/>
    </row>
    <row r="177" spans="4:6" ht="12.75">
      <c r="D177" s="6"/>
      <c r="F177" s="84"/>
    </row>
    <row r="178" spans="4:6" ht="12.75">
      <c r="D178" s="6"/>
      <c r="F178" s="84"/>
    </row>
    <row r="179" ht="12.75">
      <c r="D179" s="81"/>
    </row>
    <row r="180" ht="12.75">
      <c r="D180" s="81"/>
    </row>
    <row r="181" ht="12.75">
      <c r="D181" s="81"/>
    </row>
    <row r="182" ht="12.75">
      <c r="D182" s="81"/>
    </row>
    <row r="183" spans="1:7" ht="12.75">
      <c r="A183" s="461"/>
      <c r="B183" s="461"/>
      <c r="C183" s="461"/>
      <c r="D183" s="461"/>
      <c r="E183" s="95"/>
      <c r="F183" s="96"/>
      <c r="G183" s="96"/>
    </row>
  </sheetData>
  <sheetProtection/>
  <mergeCells count="58">
    <mergeCell ref="J6:J7"/>
    <mergeCell ref="E12:F12"/>
    <mergeCell ref="H6:I7"/>
    <mergeCell ref="A8:C8"/>
    <mergeCell ref="E8:F8"/>
    <mergeCell ref="H8:J13"/>
    <mergeCell ref="A9:C9"/>
    <mergeCell ref="A13:C13"/>
    <mergeCell ref="E13:F13"/>
    <mergeCell ref="E10:F10"/>
    <mergeCell ref="A183:D183"/>
    <mergeCell ref="A158:J158"/>
    <mergeCell ref="A14:J14"/>
    <mergeCell ref="A20:A21"/>
    <mergeCell ref="I20:J20"/>
    <mergeCell ref="E20:E21"/>
    <mergeCell ref="F20:F21"/>
    <mergeCell ref="I15:J15"/>
    <mergeCell ref="C20:C21"/>
    <mergeCell ref="B16:D16"/>
    <mergeCell ref="A6:C7"/>
    <mergeCell ref="A12:C12"/>
    <mergeCell ref="D6:D7"/>
    <mergeCell ref="E6:G7"/>
    <mergeCell ref="A11:C11"/>
    <mergeCell ref="E11:F11"/>
    <mergeCell ref="E9:F9"/>
    <mergeCell ref="A10:C10"/>
    <mergeCell ref="E17:J17"/>
    <mergeCell ref="B20:B21"/>
    <mergeCell ref="G20:H20"/>
    <mergeCell ref="D20:D21"/>
    <mergeCell ref="E19:F19"/>
    <mergeCell ref="G19:H19"/>
    <mergeCell ref="E18:J18"/>
    <mergeCell ref="V159:V160"/>
    <mergeCell ref="A165:D165"/>
    <mergeCell ref="C163:D163"/>
    <mergeCell ref="C164:D164"/>
    <mergeCell ref="K24:M24"/>
    <mergeCell ref="K25:M25"/>
    <mergeCell ref="K26:M26"/>
    <mergeCell ref="K27:M27"/>
    <mergeCell ref="K28:M28"/>
    <mergeCell ref="K30:M30"/>
    <mergeCell ref="K31:M31"/>
    <mergeCell ref="K36:M36"/>
    <mergeCell ref="K32:M32"/>
    <mergeCell ref="K33:M33"/>
    <mergeCell ref="K34:M34"/>
    <mergeCell ref="K35:M35"/>
    <mergeCell ref="N20:N21"/>
    <mergeCell ref="K19:M19"/>
    <mergeCell ref="K20:K21"/>
    <mergeCell ref="L20:L21"/>
    <mergeCell ref="M20:M21"/>
    <mergeCell ref="K29:M29"/>
    <mergeCell ref="K23:M23"/>
  </mergeCells>
  <printOptions horizontalCentered="1"/>
  <pageMargins left="0.3937007874015748" right="0.1968503937007874" top="0" bottom="0" header="0" footer="0.1968503937007874"/>
  <pageSetup horizontalDpi="300" verticalDpi="300" orientation="landscape" paperSize="9" scale="74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6:AF169"/>
  <sheetViews>
    <sheetView view="pageBreakPreview" zoomScale="115" zoomScaleNormal="115" zoomScaleSheetLayoutView="115" zoomScalePageLayoutView="0" workbookViewId="0" topLeftCell="A139">
      <selection activeCell="D147" sqref="D147"/>
    </sheetView>
  </sheetViews>
  <sheetFormatPr defaultColWidth="9.140625" defaultRowHeight="12.75"/>
  <cols>
    <col min="1" max="1" width="5.28125" style="0" customWidth="1"/>
    <col min="2" max="2" width="8.140625" style="0" customWidth="1"/>
    <col min="3" max="3" width="11.00390625" style="0" customWidth="1"/>
    <col min="4" max="4" width="72.57421875" style="0" customWidth="1"/>
    <col min="5" max="5" width="7.28125" style="1" customWidth="1"/>
    <col min="6" max="6" width="9.28125" style="2" customWidth="1"/>
    <col min="7" max="7" width="9.8515625" style="2" customWidth="1"/>
    <col min="8" max="8" width="9.7109375" style="2" customWidth="1"/>
    <col min="9" max="9" width="9.57421875" style="2" customWidth="1"/>
    <col min="10" max="12" width="12.8515625" style="2" customWidth="1"/>
    <col min="13" max="13" width="7.00390625" style="2" bestFit="1" customWidth="1"/>
    <col min="14" max="16" width="12.8515625" style="2" customWidth="1"/>
    <col min="17" max="17" width="9.57421875" style="0" customWidth="1"/>
    <col min="18" max="18" width="11.00390625" style="0" customWidth="1"/>
    <col min="19" max="19" width="10.57421875" style="0" customWidth="1"/>
    <col min="20" max="20" width="11.8515625" style="0" customWidth="1"/>
    <col min="21" max="21" width="6.421875" style="0" customWidth="1"/>
    <col min="22" max="22" width="7.421875" style="0" customWidth="1"/>
    <col min="23" max="27" width="9.140625" style="0" hidden="1" customWidth="1"/>
    <col min="29" max="29" width="6.7109375" style="0" customWidth="1"/>
  </cols>
  <sheetData>
    <row r="5" ht="12" customHeight="1"/>
    <row r="6" spans="1:16" ht="6.75" customHeight="1">
      <c r="A6" s="448" t="s">
        <v>459</v>
      </c>
      <c r="B6" s="449"/>
      <c r="C6" s="450"/>
      <c r="D6" s="457" t="s">
        <v>460</v>
      </c>
      <c r="E6" s="457" t="s">
        <v>461</v>
      </c>
      <c r="F6" s="457"/>
      <c r="G6" s="457"/>
      <c r="H6" s="430" t="s">
        <v>330</v>
      </c>
      <c r="I6" s="430"/>
      <c r="J6" s="491">
        <f>IF(J7=TRUE,0,((((1+G11)*(1+G10)*(1+G9+G8)*(1+G12))/(1-G13))-1))</f>
        <v>0.2404363227805144</v>
      </c>
      <c r="K6" s="161"/>
      <c r="L6" s="156"/>
      <c r="M6" s="156"/>
      <c r="N6" s="156"/>
      <c r="O6" s="156"/>
      <c r="P6" s="156"/>
    </row>
    <row r="7" spans="1:16" ht="6" customHeight="1">
      <c r="A7" s="451"/>
      <c r="B7" s="452"/>
      <c r="C7" s="453"/>
      <c r="D7" s="458"/>
      <c r="E7" s="458"/>
      <c r="F7" s="458"/>
      <c r="G7" s="458"/>
      <c r="H7" s="471"/>
      <c r="I7" s="471"/>
      <c r="J7" s="492"/>
      <c r="K7" s="161"/>
      <c r="L7" s="156"/>
      <c r="M7" s="156"/>
      <c r="N7" s="156"/>
      <c r="O7" s="156"/>
      <c r="P7" s="156"/>
    </row>
    <row r="8" spans="1:16" ht="12.75" customHeight="1">
      <c r="A8" s="454" t="s">
        <v>331</v>
      </c>
      <c r="B8" s="455"/>
      <c r="C8" s="456"/>
      <c r="D8" s="217" t="s">
        <v>462</v>
      </c>
      <c r="E8" s="459" t="s">
        <v>463</v>
      </c>
      <c r="F8" s="460"/>
      <c r="G8" s="218">
        <v>0.0042</v>
      </c>
      <c r="H8" s="472" t="s">
        <v>464</v>
      </c>
      <c r="I8" s="473"/>
      <c r="J8" s="483"/>
      <c r="K8" s="164"/>
      <c r="L8" s="157"/>
      <c r="M8" s="157"/>
      <c r="N8" s="157"/>
      <c r="O8" s="157"/>
      <c r="P8" s="157"/>
    </row>
    <row r="9" spans="1:16" ht="12.75" customHeight="1">
      <c r="A9" s="454" t="s">
        <v>332</v>
      </c>
      <c r="B9" s="455"/>
      <c r="C9" s="456"/>
      <c r="D9" s="217" t="s">
        <v>465</v>
      </c>
      <c r="E9" s="459" t="s">
        <v>466</v>
      </c>
      <c r="F9" s="460"/>
      <c r="G9" s="219">
        <v>0.01</v>
      </c>
      <c r="H9" s="474"/>
      <c r="I9" s="475"/>
      <c r="J9" s="484"/>
      <c r="K9" s="164"/>
      <c r="L9" s="157"/>
      <c r="M9" s="157"/>
      <c r="N9" s="157"/>
      <c r="O9" s="157"/>
      <c r="P9" s="157"/>
    </row>
    <row r="10" spans="1:16" ht="12.75" customHeight="1">
      <c r="A10" s="454" t="s">
        <v>333</v>
      </c>
      <c r="B10" s="455"/>
      <c r="C10" s="456"/>
      <c r="D10" s="217" t="s">
        <v>467</v>
      </c>
      <c r="E10" s="459" t="s">
        <v>516</v>
      </c>
      <c r="F10" s="460"/>
      <c r="G10" s="219">
        <v>0.012</v>
      </c>
      <c r="H10" s="474"/>
      <c r="I10" s="475"/>
      <c r="J10" s="484"/>
      <c r="K10" s="164"/>
      <c r="L10" s="157"/>
      <c r="M10" s="157"/>
      <c r="N10" s="157"/>
      <c r="O10" s="157"/>
      <c r="P10" s="157"/>
    </row>
    <row r="11" spans="1:16" ht="12.75" customHeight="1">
      <c r="A11" s="454" t="s">
        <v>334</v>
      </c>
      <c r="B11" s="455"/>
      <c r="C11" s="456"/>
      <c r="D11" s="217" t="s">
        <v>468</v>
      </c>
      <c r="E11" s="459" t="s">
        <v>515</v>
      </c>
      <c r="F11" s="460"/>
      <c r="G11" s="219">
        <v>0.027</v>
      </c>
      <c r="H11" s="474"/>
      <c r="I11" s="475"/>
      <c r="J11" s="484"/>
      <c r="K11" s="164"/>
      <c r="L11" s="157"/>
      <c r="M11" s="157"/>
      <c r="N11" s="157"/>
      <c r="O11" s="157"/>
      <c r="P11" s="157"/>
    </row>
    <row r="12" spans="1:16" ht="12.75" customHeight="1">
      <c r="A12" s="454" t="s">
        <v>335</v>
      </c>
      <c r="B12" s="455"/>
      <c r="C12" s="456"/>
      <c r="D12" s="217" t="s">
        <v>469</v>
      </c>
      <c r="E12" s="459" t="s">
        <v>470</v>
      </c>
      <c r="F12" s="460"/>
      <c r="G12" s="219">
        <v>0.075</v>
      </c>
      <c r="H12" s="474"/>
      <c r="I12" s="475"/>
      <c r="J12" s="484"/>
      <c r="K12" s="164"/>
      <c r="L12" s="157"/>
      <c r="M12" s="157"/>
      <c r="N12" s="157"/>
      <c r="O12" s="157"/>
      <c r="P12" s="157"/>
    </row>
    <row r="13" spans="1:16" ht="12.75" customHeight="1">
      <c r="A13" s="478" t="s">
        <v>336</v>
      </c>
      <c r="B13" s="479"/>
      <c r="C13" s="480"/>
      <c r="D13" s="220" t="s">
        <v>471</v>
      </c>
      <c r="E13" s="481" t="s">
        <v>472</v>
      </c>
      <c r="F13" s="482"/>
      <c r="G13" s="221">
        <v>0.0865</v>
      </c>
      <c r="H13" s="476"/>
      <c r="I13" s="477"/>
      <c r="J13" s="485"/>
      <c r="K13" s="164"/>
      <c r="L13" s="157"/>
      <c r="M13" s="157"/>
      <c r="N13" s="157"/>
      <c r="O13" s="157"/>
      <c r="P13" s="157"/>
    </row>
    <row r="14" spans="1:16" ht="3" customHeight="1">
      <c r="A14" s="463"/>
      <c r="B14" s="463"/>
      <c r="C14" s="463"/>
      <c r="D14" s="463"/>
      <c r="E14" s="463"/>
      <c r="F14" s="463"/>
      <c r="G14" s="463"/>
      <c r="H14" s="463"/>
      <c r="I14" s="463"/>
      <c r="J14" s="486"/>
      <c r="K14" s="337"/>
      <c r="L14" s="158"/>
      <c r="M14" s="158"/>
      <c r="N14" s="158"/>
      <c r="O14" s="158"/>
      <c r="P14" s="158"/>
    </row>
    <row r="15" spans="1:19" ht="12" customHeight="1">
      <c r="A15" s="178"/>
      <c r="B15" s="179"/>
      <c r="C15" s="179"/>
      <c r="D15" s="180" t="s">
        <v>368</v>
      </c>
      <c r="E15" s="181"/>
      <c r="F15" s="182"/>
      <c r="G15" s="182"/>
      <c r="H15" s="183" t="s">
        <v>371</v>
      </c>
      <c r="I15" s="466" t="s">
        <v>706</v>
      </c>
      <c r="J15" s="488"/>
      <c r="K15" s="248"/>
      <c r="L15" s="159"/>
      <c r="M15" s="159"/>
      <c r="N15" s="159"/>
      <c r="O15" s="159"/>
      <c r="P15" s="159"/>
      <c r="S15" s="13">
        <f>S19+S20</f>
        <v>307500</v>
      </c>
    </row>
    <row r="16" spans="1:32" s="3" customFormat="1" ht="14.25" customHeight="1">
      <c r="A16" s="184" t="s">
        <v>268</v>
      </c>
      <c r="B16" s="467" t="s">
        <v>514</v>
      </c>
      <c r="C16" s="467"/>
      <c r="D16" s="468"/>
      <c r="E16" s="185" t="s">
        <v>369</v>
      </c>
      <c r="F16" s="186"/>
      <c r="G16" s="186"/>
      <c r="H16" s="186"/>
      <c r="I16" s="186"/>
      <c r="J16" s="341"/>
      <c r="K16" s="249"/>
      <c r="L16" s="165"/>
      <c r="M16" s="165"/>
      <c r="N16" s="165"/>
      <c r="O16" s="165"/>
      <c r="P16" s="165"/>
      <c r="Q16" s="76"/>
      <c r="R16" s="77"/>
      <c r="S16" s="78"/>
      <c r="T16" s="16"/>
      <c r="U16" s="16"/>
      <c r="V16" s="16"/>
      <c r="W16" s="16"/>
      <c r="X16" s="16"/>
      <c r="Y16" s="16"/>
      <c r="Z16" s="16"/>
      <c r="AA16" s="16"/>
      <c r="AB16" s="17"/>
      <c r="AC16" s="18"/>
      <c r="AD16" s="19"/>
      <c r="AE16" s="18"/>
      <c r="AF16" s="20"/>
    </row>
    <row r="17" spans="1:32" s="3" customFormat="1" ht="15.75" customHeight="1">
      <c r="A17" s="187" t="s">
        <v>367</v>
      </c>
      <c r="B17" s="188"/>
      <c r="C17" s="188" t="s">
        <v>225</v>
      </c>
      <c r="D17" s="189"/>
      <c r="E17" s="489" t="s">
        <v>704</v>
      </c>
      <c r="F17" s="438"/>
      <c r="G17" s="438"/>
      <c r="H17" s="438"/>
      <c r="I17" s="438"/>
      <c r="J17" s="490"/>
      <c r="K17" s="190"/>
      <c r="L17" s="166"/>
      <c r="M17" s="166"/>
      <c r="N17" s="166"/>
      <c r="O17" s="166"/>
      <c r="P17" s="166"/>
      <c r="T17" s="16"/>
      <c r="U17" s="16"/>
      <c r="V17" s="16"/>
      <c r="W17" s="16"/>
      <c r="X17" s="16"/>
      <c r="Y17" s="16"/>
      <c r="Z17" s="16"/>
      <c r="AA17" s="16"/>
      <c r="AB17" s="17"/>
      <c r="AC17" s="18"/>
      <c r="AD17" s="19"/>
      <c r="AE17" s="18"/>
      <c r="AF17" s="20"/>
    </row>
    <row r="18" spans="1:32" s="3" customFormat="1" ht="12.75" customHeight="1">
      <c r="A18" s="191"/>
      <c r="B18" s="192"/>
      <c r="C18" s="192" t="s">
        <v>386</v>
      </c>
      <c r="D18" s="192"/>
      <c r="E18" s="489" t="s">
        <v>705</v>
      </c>
      <c r="F18" s="438"/>
      <c r="G18" s="438"/>
      <c r="H18" s="438"/>
      <c r="I18" s="438"/>
      <c r="J18" s="490"/>
      <c r="K18" s="190"/>
      <c r="L18" s="166"/>
      <c r="M18" s="166"/>
      <c r="N18" s="166"/>
      <c r="O18" s="166"/>
      <c r="P18" s="166"/>
      <c r="S18" s="116">
        <f>S19+S20</f>
        <v>307500</v>
      </c>
      <c r="T18" s="16"/>
      <c r="U18" s="16"/>
      <c r="V18" s="16"/>
      <c r="W18" s="16"/>
      <c r="X18" s="16"/>
      <c r="Y18" s="16"/>
      <c r="Z18" s="16"/>
      <c r="AA18" s="16"/>
      <c r="AB18" s="17"/>
      <c r="AC18" s="18"/>
      <c r="AD18" s="19"/>
      <c r="AE18" s="18"/>
      <c r="AF18" s="20"/>
    </row>
    <row r="19" spans="1:32" ht="13.5" customHeight="1">
      <c r="A19" s="193"/>
      <c r="B19" s="194"/>
      <c r="C19" s="194"/>
      <c r="D19" s="340"/>
      <c r="E19" s="444" t="s">
        <v>341</v>
      </c>
      <c r="F19" s="445"/>
      <c r="G19" s="446" t="s">
        <v>224</v>
      </c>
      <c r="H19" s="447"/>
      <c r="I19" s="196" t="s">
        <v>289</v>
      </c>
      <c r="J19" s="342">
        <f>J6</f>
        <v>0.2404363227805144</v>
      </c>
      <c r="K19" s="338"/>
      <c r="L19" s="167"/>
      <c r="M19" s="167"/>
      <c r="N19" s="167"/>
      <c r="O19" s="167"/>
      <c r="P19" s="167"/>
      <c r="S19" s="8">
        <v>292500</v>
      </c>
      <c r="T19" s="80" t="s">
        <v>264</v>
      </c>
      <c r="U19" s="97">
        <f>S19/S18</f>
        <v>0.9512195121951219</v>
      </c>
      <c r="V19" s="16"/>
      <c r="W19" s="16"/>
      <c r="X19" s="16"/>
      <c r="Y19" s="16"/>
      <c r="Z19" s="16"/>
      <c r="AA19" s="16"/>
      <c r="AB19" s="17"/>
      <c r="AC19" s="18"/>
      <c r="AD19" s="19"/>
      <c r="AE19" s="18"/>
      <c r="AF19" s="20"/>
    </row>
    <row r="20" spans="1:21" ht="15.75" customHeight="1">
      <c r="A20" s="441" t="s">
        <v>269</v>
      </c>
      <c r="B20" s="441" t="s">
        <v>297</v>
      </c>
      <c r="C20" s="441" t="s">
        <v>296</v>
      </c>
      <c r="D20" s="441" t="s">
        <v>270</v>
      </c>
      <c r="E20" s="441" t="s">
        <v>271</v>
      </c>
      <c r="F20" s="443" t="s">
        <v>272</v>
      </c>
      <c r="G20" s="443" t="s">
        <v>328</v>
      </c>
      <c r="H20" s="443"/>
      <c r="I20" s="443" t="s">
        <v>329</v>
      </c>
      <c r="J20" s="487"/>
      <c r="K20" s="248"/>
      <c r="L20" s="159"/>
      <c r="M20" s="159"/>
      <c r="N20" s="159"/>
      <c r="O20" s="159"/>
      <c r="P20" s="159"/>
      <c r="S20" s="8">
        <v>15000</v>
      </c>
      <c r="T20" s="67" t="s">
        <v>363</v>
      </c>
      <c r="U20" s="117">
        <f>S20/S18</f>
        <v>0.04878048780487805</v>
      </c>
    </row>
    <row r="21" spans="1:16" s="3" customFormat="1" ht="14.25" customHeight="1">
      <c r="A21" s="442"/>
      <c r="B21" s="442"/>
      <c r="C21" s="442"/>
      <c r="D21" s="442"/>
      <c r="E21" s="442"/>
      <c r="F21" s="465"/>
      <c r="G21" s="197" t="s">
        <v>298</v>
      </c>
      <c r="H21" s="197" t="s">
        <v>273</v>
      </c>
      <c r="I21" s="197" t="s">
        <v>298</v>
      </c>
      <c r="J21" s="343" t="s">
        <v>273</v>
      </c>
      <c r="K21" s="248"/>
      <c r="L21" s="159"/>
      <c r="M21" s="159"/>
      <c r="N21" s="159"/>
      <c r="O21" s="159"/>
      <c r="P21" s="159"/>
    </row>
    <row r="22" spans="1:20" ht="15" customHeight="1">
      <c r="A22" s="366" t="s">
        <v>43</v>
      </c>
      <c r="B22" s="367"/>
      <c r="C22" s="368"/>
      <c r="D22" s="369" t="s">
        <v>513</v>
      </c>
      <c r="E22" s="367"/>
      <c r="F22" s="370">
        <v>0</v>
      </c>
      <c r="G22" s="371"/>
      <c r="H22" s="370"/>
      <c r="I22" s="370"/>
      <c r="J22" s="372">
        <f>SUM(J23:J26)</f>
        <v>14761.480220784819</v>
      </c>
      <c r="K22" s="339"/>
      <c r="L22" s="169"/>
      <c r="M22" s="168">
        <v>0</v>
      </c>
      <c r="N22" s="169">
        <f aca="true" t="shared" si="0" ref="N22:N72">L22-M22</f>
        <v>0</v>
      </c>
      <c r="O22" s="169">
        <f aca="true" t="shared" si="1" ref="O22:O53">N22*I22</f>
        <v>0</v>
      </c>
      <c r="P22" s="168"/>
      <c r="Q22" s="124">
        <f>J22</f>
        <v>14761.480220784819</v>
      </c>
      <c r="S22" s="12">
        <f>Q149</f>
        <v>70468.94440164452</v>
      </c>
      <c r="T22" s="8"/>
    </row>
    <row r="23" spans="1:20" s="11" customFormat="1" ht="15" customHeight="1">
      <c r="A23" s="357" t="s">
        <v>44</v>
      </c>
      <c r="B23" s="357" t="s">
        <v>295</v>
      </c>
      <c r="C23" s="373" t="s">
        <v>127</v>
      </c>
      <c r="D23" s="356" t="s">
        <v>400</v>
      </c>
      <c r="E23" s="357" t="s">
        <v>276</v>
      </c>
      <c r="F23" s="358">
        <v>107</v>
      </c>
      <c r="G23" s="374">
        <v>33.36</v>
      </c>
      <c r="H23" s="358">
        <f>F23*G23</f>
        <v>3569.52</v>
      </c>
      <c r="I23" s="358">
        <f>(G23*J19)+G23</f>
        <v>41.38095572795796</v>
      </c>
      <c r="J23" s="375">
        <f>F23*I23</f>
        <v>4427.762262891501</v>
      </c>
      <c r="K23" s="400"/>
      <c r="L23" s="91">
        <v>538</v>
      </c>
      <c r="M23" s="91">
        <v>431</v>
      </c>
      <c r="N23" s="91">
        <f t="shared" si="0"/>
        <v>107</v>
      </c>
      <c r="O23" s="91">
        <f t="shared" si="1"/>
        <v>4427.762262891501</v>
      </c>
      <c r="P23" s="91"/>
      <c r="Q23" s="402"/>
      <c r="R23" s="46"/>
      <c r="T23" s="403"/>
    </row>
    <row r="24" spans="1:20" s="11" customFormat="1" ht="12.75">
      <c r="A24" s="361" t="s">
        <v>73</v>
      </c>
      <c r="B24" s="361" t="s">
        <v>295</v>
      </c>
      <c r="C24" s="359" t="s">
        <v>307</v>
      </c>
      <c r="D24" s="360" t="s">
        <v>72</v>
      </c>
      <c r="E24" s="361" t="s">
        <v>276</v>
      </c>
      <c r="F24" s="362">
        <v>49.896</v>
      </c>
      <c r="G24" s="376">
        <v>159.07</v>
      </c>
      <c r="H24" s="362">
        <f>F24*G24</f>
        <v>7936.95672</v>
      </c>
      <c r="I24" s="362">
        <f>(G24*J19)+G24</f>
        <v>197.31620586469643</v>
      </c>
      <c r="J24" s="377">
        <f>F24*I24</f>
        <v>9845.289407824894</v>
      </c>
      <c r="K24" s="400"/>
      <c r="L24" s="91">
        <v>49.896</v>
      </c>
      <c r="M24" s="91">
        <v>0</v>
      </c>
      <c r="N24" s="91">
        <f t="shared" si="0"/>
        <v>49.896</v>
      </c>
      <c r="O24" s="91">
        <f t="shared" si="1"/>
        <v>9845.289407824894</v>
      </c>
      <c r="P24" s="91"/>
      <c r="Q24" s="402"/>
      <c r="R24" s="46"/>
      <c r="T24" s="403"/>
    </row>
    <row r="25" spans="1:20" s="11" customFormat="1" ht="12.75">
      <c r="A25" s="361" t="s">
        <v>125</v>
      </c>
      <c r="B25" s="361" t="s">
        <v>295</v>
      </c>
      <c r="C25" s="359" t="s">
        <v>708</v>
      </c>
      <c r="D25" s="360" t="s">
        <v>707</v>
      </c>
      <c r="E25" s="361" t="s">
        <v>276</v>
      </c>
      <c r="F25" s="362">
        <v>6.266000000000001</v>
      </c>
      <c r="G25" s="376">
        <v>62.84</v>
      </c>
      <c r="H25" s="362">
        <f>F25*G25</f>
        <v>393.7554400000001</v>
      </c>
      <c r="I25" s="362">
        <f>(G25*J19)+G25</f>
        <v>77.94901852352753</v>
      </c>
      <c r="J25" s="377">
        <f>F25*I25</f>
        <v>488.42855006842353</v>
      </c>
      <c r="K25" s="400"/>
      <c r="L25" s="91">
        <v>6.266000000000001</v>
      </c>
      <c r="M25" s="91">
        <v>0</v>
      </c>
      <c r="N25" s="91">
        <f t="shared" si="0"/>
        <v>6.266000000000001</v>
      </c>
      <c r="O25" s="91">
        <f t="shared" si="1"/>
        <v>488.42855006842353</v>
      </c>
      <c r="P25" s="91"/>
      <c r="Q25" s="402"/>
      <c r="R25" s="46"/>
      <c r="T25" s="403"/>
    </row>
    <row r="26" spans="1:20" s="11" customFormat="1" ht="12.75">
      <c r="A26" s="348"/>
      <c r="B26" s="348"/>
      <c r="C26" s="349"/>
      <c r="D26" s="350"/>
      <c r="E26" s="348"/>
      <c r="F26" s="351"/>
      <c r="G26" s="365"/>
      <c r="H26" s="351"/>
      <c r="I26" s="351"/>
      <c r="J26" s="352"/>
      <c r="K26" s="400"/>
      <c r="L26" s="91">
        <v>80.53920000000001</v>
      </c>
      <c r="M26" s="91">
        <v>80.53920000000001</v>
      </c>
      <c r="N26" s="91">
        <f t="shared" si="0"/>
        <v>0</v>
      </c>
      <c r="O26" s="91">
        <f t="shared" si="1"/>
        <v>0</v>
      </c>
      <c r="P26" s="91"/>
      <c r="Q26" s="402"/>
      <c r="R26" s="46"/>
      <c r="T26" s="403"/>
    </row>
    <row r="27" spans="1:20" s="11" customFormat="1" ht="15" customHeight="1">
      <c r="A27" s="366" t="s">
        <v>61</v>
      </c>
      <c r="B27" s="367"/>
      <c r="C27" s="368"/>
      <c r="D27" s="369" t="s">
        <v>267</v>
      </c>
      <c r="E27" s="367"/>
      <c r="F27" s="370">
        <v>0</v>
      </c>
      <c r="G27" s="371"/>
      <c r="H27" s="370"/>
      <c r="I27" s="370"/>
      <c r="J27" s="372">
        <f>SUM(J28:J35)</f>
        <v>37053.39556886025</v>
      </c>
      <c r="K27" s="404"/>
      <c r="L27" s="91"/>
      <c r="M27" s="94">
        <v>0</v>
      </c>
      <c r="N27" s="91">
        <f t="shared" si="0"/>
        <v>0</v>
      </c>
      <c r="O27" s="91">
        <f t="shared" si="1"/>
        <v>0</v>
      </c>
      <c r="P27" s="94"/>
      <c r="Q27" s="402">
        <f>J27</f>
        <v>37053.39556886025</v>
      </c>
      <c r="R27" s="10"/>
      <c r="T27" s="403"/>
    </row>
    <row r="28" spans="1:20" s="11" customFormat="1" ht="15" customHeight="1">
      <c r="A28" s="357" t="s">
        <v>62</v>
      </c>
      <c r="B28" s="357" t="s">
        <v>295</v>
      </c>
      <c r="C28" s="373">
        <v>5974</v>
      </c>
      <c r="D28" s="356" t="s">
        <v>492</v>
      </c>
      <c r="E28" s="357" t="s">
        <v>276</v>
      </c>
      <c r="F28" s="358">
        <v>247.44960000000015</v>
      </c>
      <c r="G28" s="374">
        <v>3.39</v>
      </c>
      <c r="H28" s="358">
        <f aca="true" t="shared" si="2" ref="H28:H35">F28*G28</f>
        <v>838.8541440000005</v>
      </c>
      <c r="I28" s="358">
        <f>(G28*J19)+G28</f>
        <v>4.205079134225944</v>
      </c>
      <c r="J28" s="375">
        <f aca="true" t="shared" si="3" ref="J28:J35">I28*F28</f>
        <v>1040.5451497325566</v>
      </c>
      <c r="K28" s="400"/>
      <c r="L28" s="91">
        <v>1242.4496000000001</v>
      </c>
      <c r="M28" s="91">
        <v>995</v>
      </c>
      <c r="N28" s="91">
        <f t="shared" si="0"/>
        <v>247.44960000000015</v>
      </c>
      <c r="O28" s="91">
        <f t="shared" si="1"/>
        <v>1040.5451497325566</v>
      </c>
      <c r="P28" s="91"/>
      <c r="Q28" s="402"/>
      <c r="R28" s="10"/>
      <c r="T28" s="403"/>
    </row>
    <row r="29" spans="1:20" s="11" customFormat="1" ht="12.75">
      <c r="A29" s="361" t="s">
        <v>63</v>
      </c>
      <c r="B29" s="361" t="s">
        <v>295</v>
      </c>
      <c r="C29" s="359">
        <v>5995</v>
      </c>
      <c r="D29" s="360" t="s">
        <v>491</v>
      </c>
      <c r="E29" s="361" t="s">
        <v>276</v>
      </c>
      <c r="F29" s="362">
        <v>1242.4496000000001</v>
      </c>
      <c r="G29" s="376">
        <v>10.87</v>
      </c>
      <c r="H29" s="362">
        <f t="shared" si="2"/>
        <v>13505.427152</v>
      </c>
      <c r="I29" s="362">
        <f>(G29*J19)+G29</f>
        <v>13.483542828624191</v>
      </c>
      <c r="J29" s="377">
        <f t="shared" si="3"/>
        <v>16752.622394006998</v>
      </c>
      <c r="K29" s="400"/>
      <c r="L29" s="91">
        <v>1242.4496000000001</v>
      </c>
      <c r="M29" s="91">
        <v>0</v>
      </c>
      <c r="N29" s="91">
        <f t="shared" si="0"/>
        <v>1242.4496000000001</v>
      </c>
      <c r="O29" s="91">
        <f t="shared" si="1"/>
        <v>16752.622394006998</v>
      </c>
      <c r="P29" s="91"/>
      <c r="Q29" s="402"/>
      <c r="R29" s="10"/>
      <c r="T29" s="403"/>
    </row>
    <row r="30" spans="1:20" s="11" customFormat="1" ht="12.75">
      <c r="A30" s="361" t="s">
        <v>64</v>
      </c>
      <c r="B30" s="361" t="s">
        <v>295</v>
      </c>
      <c r="C30" s="359" t="s">
        <v>301</v>
      </c>
      <c r="D30" s="360" t="s">
        <v>545</v>
      </c>
      <c r="E30" s="361" t="s">
        <v>276</v>
      </c>
      <c r="F30" s="362">
        <v>30.62</v>
      </c>
      <c r="G30" s="376">
        <v>30.67</v>
      </c>
      <c r="H30" s="362">
        <f t="shared" si="2"/>
        <v>939.1154000000001</v>
      </c>
      <c r="I30" s="362">
        <f>(G30*J19)+G30</f>
        <v>38.04418201967838</v>
      </c>
      <c r="J30" s="377">
        <f t="shared" si="3"/>
        <v>1164.912853442552</v>
      </c>
      <c r="K30" s="400"/>
      <c r="L30" s="91">
        <v>30.62</v>
      </c>
      <c r="M30" s="91">
        <v>0</v>
      </c>
      <c r="N30" s="91">
        <f t="shared" si="0"/>
        <v>30.62</v>
      </c>
      <c r="O30" s="91">
        <f t="shared" si="1"/>
        <v>1164.912853442552</v>
      </c>
      <c r="P30" s="91"/>
      <c r="Q30" s="402"/>
      <c r="R30" s="10"/>
      <c r="T30" s="403"/>
    </row>
    <row r="31" spans="1:20" s="11" customFormat="1" ht="12.75">
      <c r="A31" s="361" t="s">
        <v>65</v>
      </c>
      <c r="B31" s="361" t="s">
        <v>295</v>
      </c>
      <c r="C31" s="359" t="s">
        <v>49</v>
      </c>
      <c r="D31" s="360" t="s">
        <v>50</v>
      </c>
      <c r="E31" s="361" t="s">
        <v>276</v>
      </c>
      <c r="F31" s="362">
        <v>1242.4496000000001</v>
      </c>
      <c r="G31" s="376">
        <v>2.76</v>
      </c>
      <c r="H31" s="362">
        <f t="shared" si="2"/>
        <v>3429.1608960000003</v>
      </c>
      <c r="I31" s="362">
        <f>(G31*J19)+G31</f>
        <v>3.4236042508742193</v>
      </c>
      <c r="J31" s="377">
        <f t="shared" si="3"/>
        <v>4253.655732056974</v>
      </c>
      <c r="K31" s="400"/>
      <c r="L31" s="91">
        <v>1242.4496000000001</v>
      </c>
      <c r="M31" s="91">
        <v>0</v>
      </c>
      <c r="N31" s="91">
        <f t="shared" si="0"/>
        <v>1242.4496000000001</v>
      </c>
      <c r="O31" s="91">
        <f t="shared" si="1"/>
        <v>4253.655732056974</v>
      </c>
      <c r="P31" s="91"/>
      <c r="Q31" s="402"/>
      <c r="R31" s="10"/>
      <c r="T31" s="403"/>
    </row>
    <row r="32" spans="1:20" s="11" customFormat="1" ht="12.75">
      <c r="A32" s="361" t="s">
        <v>411</v>
      </c>
      <c r="B32" s="361" t="s">
        <v>295</v>
      </c>
      <c r="C32" s="359" t="s">
        <v>51</v>
      </c>
      <c r="D32" s="360" t="s">
        <v>52</v>
      </c>
      <c r="E32" s="361" t="s">
        <v>276</v>
      </c>
      <c r="F32" s="362">
        <v>1085.6496000000002</v>
      </c>
      <c r="G32" s="376">
        <v>7.97</v>
      </c>
      <c r="H32" s="362">
        <f t="shared" si="2"/>
        <v>8652.627312</v>
      </c>
      <c r="I32" s="362">
        <f>(G32*J19)+G32</f>
        <v>9.8862774925607</v>
      </c>
      <c r="J32" s="377">
        <f t="shared" si="3"/>
        <v>10733.03320528753</v>
      </c>
      <c r="K32" s="400"/>
      <c r="L32" s="91">
        <v>1085.6496000000002</v>
      </c>
      <c r="M32" s="91">
        <v>0</v>
      </c>
      <c r="N32" s="91">
        <f t="shared" si="0"/>
        <v>1085.6496000000002</v>
      </c>
      <c r="O32" s="91">
        <f t="shared" si="1"/>
        <v>10733.03320528753</v>
      </c>
      <c r="P32" s="91"/>
      <c r="Q32" s="402"/>
      <c r="R32" s="10"/>
      <c r="T32" s="403"/>
    </row>
    <row r="33" spans="1:20" s="11" customFormat="1" ht="12.75">
      <c r="A33" s="361" t="s">
        <v>66</v>
      </c>
      <c r="B33" s="361" t="s">
        <v>295</v>
      </c>
      <c r="C33" s="359" t="s">
        <v>303</v>
      </c>
      <c r="D33" s="360" t="s">
        <v>302</v>
      </c>
      <c r="E33" s="361" t="s">
        <v>276</v>
      </c>
      <c r="F33" s="362">
        <v>156.8</v>
      </c>
      <c r="G33" s="376">
        <v>7.4</v>
      </c>
      <c r="H33" s="362">
        <f t="shared" si="2"/>
        <v>1160.3200000000002</v>
      </c>
      <c r="I33" s="362">
        <f>(G33*J19)+G33</f>
        <v>9.179228788575807</v>
      </c>
      <c r="J33" s="377">
        <f t="shared" si="3"/>
        <v>1439.3030740486868</v>
      </c>
      <c r="K33" s="400"/>
      <c r="L33" s="91">
        <v>156.8</v>
      </c>
      <c r="M33" s="91">
        <v>0</v>
      </c>
      <c r="N33" s="91">
        <f t="shared" si="0"/>
        <v>156.8</v>
      </c>
      <c r="O33" s="91">
        <f t="shared" si="1"/>
        <v>1439.3030740486868</v>
      </c>
      <c r="P33" s="91"/>
      <c r="Q33" s="402"/>
      <c r="R33" s="10"/>
      <c r="T33" s="403"/>
    </row>
    <row r="34" spans="1:20" s="11" customFormat="1" ht="12.75">
      <c r="A34" s="361" t="s">
        <v>67</v>
      </c>
      <c r="B34" s="361" t="s">
        <v>295</v>
      </c>
      <c r="C34" s="359" t="s">
        <v>53</v>
      </c>
      <c r="D34" s="360" t="s">
        <v>68</v>
      </c>
      <c r="E34" s="361" t="s">
        <v>276</v>
      </c>
      <c r="F34" s="362">
        <v>88.06</v>
      </c>
      <c r="G34" s="376">
        <v>14.29</v>
      </c>
      <c r="H34" s="362">
        <f t="shared" si="2"/>
        <v>1258.3773999999999</v>
      </c>
      <c r="I34" s="362">
        <f>(G34*J19)+G34</f>
        <v>17.72583505253355</v>
      </c>
      <c r="J34" s="377">
        <f t="shared" si="3"/>
        <v>1560.9370347261045</v>
      </c>
      <c r="K34" s="400"/>
      <c r="L34" s="91">
        <v>88.06</v>
      </c>
      <c r="M34" s="91">
        <v>0</v>
      </c>
      <c r="N34" s="91">
        <f t="shared" si="0"/>
        <v>88.06</v>
      </c>
      <c r="O34" s="91">
        <f t="shared" si="1"/>
        <v>1560.9370347261045</v>
      </c>
      <c r="P34" s="91"/>
      <c r="Q34" s="402"/>
      <c r="R34" s="10"/>
      <c r="T34" s="403"/>
    </row>
    <row r="35" spans="1:20" s="11" customFormat="1" ht="12.75">
      <c r="A35" s="348" t="s">
        <v>71</v>
      </c>
      <c r="B35" s="348" t="s">
        <v>295</v>
      </c>
      <c r="C35" s="349">
        <v>6067</v>
      </c>
      <c r="D35" s="350" t="s">
        <v>60</v>
      </c>
      <c r="E35" s="348" t="s">
        <v>276</v>
      </c>
      <c r="F35" s="351">
        <v>4.0489999999999995</v>
      </c>
      <c r="G35" s="365">
        <v>21.58</v>
      </c>
      <c r="H35" s="351">
        <f t="shared" si="2"/>
        <v>87.37741999999999</v>
      </c>
      <c r="I35" s="351">
        <f>(G35*J19)+G35</f>
        <v>26.7686158456035</v>
      </c>
      <c r="J35" s="352">
        <f t="shared" si="3"/>
        <v>108.38612555884855</v>
      </c>
      <c r="K35" s="400"/>
      <c r="L35" s="91">
        <v>4.0489999999999995</v>
      </c>
      <c r="M35" s="91">
        <v>0</v>
      </c>
      <c r="N35" s="91">
        <f t="shared" si="0"/>
        <v>4.0489999999999995</v>
      </c>
      <c r="O35" s="91">
        <f t="shared" si="1"/>
        <v>108.38612555884855</v>
      </c>
      <c r="P35" s="91"/>
      <c r="Q35" s="402"/>
      <c r="R35" s="10"/>
      <c r="T35" s="403"/>
    </row>
    <row r="36" spans="1:20" s="11" customFormat="1" ht="12.75">
      <c r="A36" s="366" t="s">
        <v>100</v>
      </c>
      <c r="B36" s="367"/>
      <c r="C36" s="368"/>
      <c r="D36" s="369" t="s">
        <v>286</v>
      </c>
      <c r="E36" s="367"/>
      <c r="F36" s="370">
        <v>0</v>
      </c>
      <c r="G36" s="371"/>
      <c r="H36" s="370"/>
      <c r="I36" s="370"/>
      <c r="J36" s="372">
        <f>SUM(J37:J44)</f>
        <v>32639.072436215265</v>
      </c>
      <c r="K36" s="404"/>
      <c r="L36" s="91"/>
      <c r="M36" s="94">
        <v>0</v>
      </c>
      <c r="N36" s="91">
        <f t="shared" si="0"/>
        <v>0</v>
      </c>
      <c r="O36" s="91">
        <f t="shared" si="1"/>
        <v>0</v>
      </c>
      <c r="P36" s="94"/>
      <c r="Q36" s="402">
        <f>J36</f>
        <v>32639.072436215265</v>
      </c>
      <c r="T36" s="403"/>
    </row>
    <row r="37" spans="1:20" s="11" customFormat="1" ht="15" customHeight="1">
      <c r="A37" s="357"/>
      <c r="B37" s="357"/>
      <c r="C37" s="373"/>
      <c r="D37" s="356"/>
      <c r="E37" s="357"/>
      <c r="F37" s="358"/>
      <c r="G37" s="374"/>
      <c r="H37" s="358"/>
      <c r="I37" s="358"/>
      <c r="J37" s="375"/>
      <c r="K37" s="400"/>
      <c r="L37" s="91">
        <v>390.25</v>
      </c>
      <c r="M37" s="91">
        <v>390.25</v>
      </c>
      <c r="N37" s="91">
        <f t="shared" si="0"/>
        <v>0</v>
      </c>
      <c r="O37" s="91">
        <f t="shared" si="1"/>
        <v>0</v>
      </c>
      <c r="P37" s="91"/>
      <c r="Q37" s="402"/>
      <c r="T37" s="403"/>
    </row>
    <row r="38" spans="1:18" s="11" customFormat="1" ht="12.75">
      <c r="A38" s="361" t="s">
        <v>413</v>
      </c>
      <c r="B38" s="361" t="s">
        <v>295</v>
      </c>
      <c r="C38" s="359" t="s">
        <v>69</v>
      </c>
      <c r="D38" s="360" t="s">
        <v>250</v>
      </c>
      <c r="E38" s="361" t="s">
        <v>276</v>
      </c>
      <c r="F38" s="362">
        <v>43.29</v>
      </c>
      <c r="G38" s="376">
        <v>50.45</v>
      </c>
      <c r="H38" s="362">
        <f aca="true" t="shared" si="4" ref="H38:H44">F38*G38</f>
        <v>2183.9805</v>
      </c>
      <c r="I38" s="362">
        <f>(G38*J19)+G38</f>
        <v>62.580012484276956</v>
      </c>
      <c r="J38" s="377">
        <f aca="true" t="shared" si="5" ref="J38:J44">I38*F38</f>
        <v>2709.0887404443492</v>
      </c>
      <c r="K38" s="400"/>
      <c r="L38" s="91">
        <v>43.29</v>
      </c>
      <c r="M38" s="91">
        <v>0</v>
      </c>
      <c r="N38" s="91">
        <f t="shared" si="0"/>
        <v>43.29</v>
      </c>
      <c r="O38" s="91">
        <f t="shared" si="1"/>
        <v>2709.0887404443492</v>
      </c>
      <c r="P38" s="91"/>
      <c r="Q38" s="402"/>
      <c r="R38" s="46"/>
    </row>
    <row r="39" spans="1:18" s="354" customFormat="1" ht="12.75">
      <c r="A39" s="361" t="s">
        <v>414</v>
      </c>
      <c r="B39" s="361" t="s">
        <v>295</v>
      </c>
      <c r="C39" s="359">
        <v>84191</v>
      </c>
      <c r="D39" s="360" t="s">
        <v>546</v>
      </c>
      <c r="E39" s="361" t="s">
        <v>276</v>
      </c>
      <c r="F39" s="362">
        <v>207.56</v>
      </c>
      <c r="G39" s="376">
        <v>54.9</v>
      </c>
      <c r="H39" s="362">
        <f t="shared" si="4"/>
        <v>11395.044</v>
      </c>
      <c r="I39" s="362">
        <f>(G39*J19)+G39</f>
        <v>68.09995412065024</v>
      </c>
      <c r="J39" s="377">
        <f t="shared" si="5"/>
        <v>14134.826477282164</v>
      </c>
      <c r="K39" s="353"/>
      <c r="L39" s="111">
        <v>207.56</v>
      </c>
      <c r="M39" s="111">
        <v>0</v>
      </c>
      <c r="N39" s="111">
        <f t="shared" si="0"/>
        <v>207.56</v>
      </c>
      <c r="O39" s="111">
        <f t="shared" si="1"/>
        <v>14134.826477282164</v>
      </c>
      <c r="P39" s="111"/>
      <c r="Q39" s="144"/>
      <c r="R39" s="405"/>
    </row>
    <row r="40" spans="1:18" s="11" customFormat="1" ht="12.75">
      <c r="A40" s="361" t="s">
        <v>415</v>
      </c>
      <c r="B40" s="361" t="s">
        <v>295</v>
      </c>
      <c r="C40" s="359" t="s">
        <v>174</v>
      </c>
      <c r="D40" s="360" t="s">
        <v>249</v>
      </c>
      <c r="E40" s="361" t="s">
        <v>276</v>
      </c>
      <c r="F40" s="362">
        <v>37.87</v>
      </c>
      <c r="G40" s="376">
        <v>39.56</v>
      </c>
      <c r="H40" s="362">
        <f t="shared" si="4"/>
        <v>1498.1372</v>
      </c>
      <c r="I40" s="362">
        <f>(G40*J19)+G40</f>
        <v>49.07166092919715</v>
      </c>
      <c r="J40" s="377">
        <f t="shared" si="5"/>
        <v>1858.343799388696</v>
      </c>
      <c r="K40" s="400"/>
      <c r="L40" s="91">
        <v>37.87</v>
      </c>
      <c r="M40" s="91">
        <v>0</v>
      </c>
      <c r="N40" s="91">
        <f t="shared" si="0"/>
        <v>37.87</v>
      </c>
      <c r="O40" s="91">
        <f t="shared" si="1"/>
        <v>1858.343799388696</v>
      </c>
      <c r="P40" s="91"/>
      <c r="Q40" s="402"/>
      <c r="R40" s="46"/>
    </row>
    <row r="41" spans="1:18" s="354" customFormat="1" ht="12.75">
      <c r="A41" s="361" t="s">
        <v>246</v>
      </c>
      <c r="B41" s="361" t="s">
        <v>295</v>
      </c>
      <c r="C41" s="359">
        <v>84191</v>
      </c>
      <c r="D41" s="360" t="s">
        <v>547</v>
      </c>
      <c r="E41" s="361" t="s">
        <v>276</v>
      </c>
      <c r="F41" s="362">
        <v>52.17</v>
      </c>
      <c r="G41" s="376">
        <v>54.93</v>
      </c>
      <c r="H41" s="362">
        <f t="shared" si="4"/>
        <v>2865.6981</v>
      </c>
      <c r="I41" s="362">
        <f>(G41*J19)+G41</f>
        <v>68.13716721033366</v>
      </c>
      <c r="J41" s="377">
        <f t="shared" si="5"/>
        <v>3554.716013363107</v>
      </c>
      <c r="K41" s="353"/>
      <c r="L41" s="111">
        <v>52.17</v>
      </c>
      <c r="M41" s="111">
        <v>0</v>
      </c>
      <c r="N41" s="111">
        <f t="shared" si="0"/>
        <v>52.17</v>
      </c>
      <c r="O41" s="111">
        <f t="shared" si="1"/>
        <v>3554.716013363107</v>
      </c>
      <c r="P41" s="111"/>
      <c r="Q41" s="144"/>
      <c r="R41" s="405"/>
    </row>
    <row r="42" spans="1:18" s="11" customFormat="1" ht="12.75">
      <c r="A42" s="361" t="s">
        <v>247</v>
      </c>
      <c r="B42" s="361" t="s">
        <v>295</v>
      </c>
      <c r="C42" s="359" t="s">
        <v>304</v>
      </c>
      <c r="D42" s="360" t="s">
        <v>70</v>
      </c>
      <c r="E42" s="361" t="s">
        <v>278</v>
      </c>
      <c r="F42" s="362">
        <v>172.1</v>
      </c>
      <c r="G42" s="376">
        <v>8.72</v>
      </c>
      <c r="H42" s="362">
        <f t="shared" si="4"/>
        <v>1500.712</v>
      </c>
      <c r="I42" s="362">
        <f>(G42*J19)+G42</f>
        <v>10.816604734646086</v>
      </c>
      <c r="J42" s="377">
        <f t="shared" si="5"/>
        <v>1861.5376748325914</v>
      </c>
      <c r="K42" s="400"/>
      <c r="L42" s="91">
        <v>172.1</v>
      </c>
      <c r="M42" s="91">
        <v>0</v>
      </c>
      <c r="N42" s="91">
        <f t="shared" si="0"/>
        <v>172.1</v>
      </c>
      <c r="O42" s="91">
        <f t="shared" si="1"/>
        <v>1861.5376748325914</v>
      </c>
      <c r="P42" s="91"/>
      <c r="Q42" s="402"/>
      <c r="R42" s="46"/>
    </row>
    <row r="43" spans="1:18" s="11" customFormat="1" ht="12.75">
      <c r="A43" s="378" t="s">
        <v>248</v>
      </c>
      <c r="B43" s="378" t="s">
        <v>295</v>
      </c>
      <c r="C43" s="379">
        <v>73655</v>
      </c>
      <c r="D43" s="380" t="s">
        <v>628</v>
      </c>
      <c r="E43" s="378" t="s">
        <v>276</v>
      </c>
      <c r="F43" s="381">
        <v>49.36</v>
      </c>
      <c r="G43" s="382">
        <v>110</v>
      </c>
      <c r="H43" s="381">
        <f t="shared" si="4"/>
        <v>5429.6</v>
      </c>
      <c r="I43" s="381">
        <f>(G43*J19)+G43</f>
        <v>136.4479955058566</v>
      </c>
      <c r="J43" s="383">
        <f t="shared" si="5"/>
        <v>6735.073058169081</v>
      </c>
      <c r="K43" s="400"/>
      <c r="L43" s="91">
        <v>49.36</v>
      </c>
      <c r="M43" s="91">
        <v>0</v>
      </c>
      <c r="N43" s="91">
        <f t="shared" si="0"/>
        <v>49.36</v>
      </c>
      <c r="O43" s="91">
        <f t="shared" si="1"/>
        <v>6735.073058169081</v>
      </c>
      <c r="P43" s="91"/>
      <c r="Q43" s="402"/>
      <c r="R43" s="46"/>
    </row>
    <row r="44" spans="1:18" s="11" customFormat="1" ht="12.75">
      <c r="A44" s="348" t="s">
        <v>564</v>
      </c>
      <c r="B44" s="348" t="s">
        <v>295</v>
      </c>
      <c r="C44" s="349">
        <v>72182</v>
      </c>
      <c r="D44" s="350" t="s">
        <v>569</v>
      </c>
      <c r="E44" s="348" t="s">
        <v>276</v>
      </c>
      <c r="F44" s="351">
        <v>37.999</v>
      </c>
      <c r="G44" s="365">
        <v>37.88</v>
      </c>
      <c r="H44" s="351">
        <f t="shared" si="4"/>
        <v>1439.4021200000002</v>
      </c>
      <c r="I44" s="351">
        <f>(G44*J19)+G44</f>
        <v>46.98772790692589</v>
      </c>
      <c r="J44" s="352">
        <f t="shared" si="5"/>
        <v>1785.4866727352771</v>
      </c>
      <c r="K44" s="400"/>
      <c r="L44" s="91">
        <v>37.999</v>
      </c>
      <c r="M44" s="91">
        <v>0</v>
      </c>
      <c r="N44" s="91">
        <f t="shared" si="0"/>
        <v>37.999</v>
      </c>
      <c r="O44" s="91">
        <f t="shared" si="1"/>
        <v>1785.4866727352771</v>
      </c>
      <c r="P44" s="91"/>
      <c r="Q44" s="402"/>
      <c r="R44" s="46"/>
    </row>
    <row r="45" spans="1:18" s="11" customFormat="1" ht="12.75">
      <c r="A45" s="366" t="s">
        <v>101</v>
      </c>
      <c r="B45" s="384"/>
      <c r="C45" s="384"/>
      <c r="D45" s="369" t="s">
        <v>265</v>
      </c>
      <c r="E45" s="367"/>
      <c r="F45" s="370">
        <v>0</v>
      </c>
      <c r="G45" s="370"/>
      <c r="H45" s="370"/>
      <c r="I45" s="370"/>
      <c r="J45" s="372">
        <f>SUM(J46:J52)</f>
        <v>35187.53531580319</v>
      </c>
      <c r="K45" s="404"/>
      <c r="L45" s="91"/>
      <c r="M45" s="94">
        <v>0</v>
      </c>
      <c r="N45" s="91">
        <f t="shared" si="0"/>
        <v>0</v>
      </c>
      <c r="O45" s="91">
        <f t="shared" si="1"/>
        <v>0</v>
      </c>
      <c r="P45" s="94"/>
      <c r="Q45" s="402">
        <f>J45</f>
        <v>35187.53531580319</v>
      </c>
      <c r="R45" s="46"/>
    </row>
    <row r="46" spans="1:20" s="11" customFormat="1" ht="12.75">
      <c r="A46" s="357" t="s">
        <v>416</v>
      </c>
      <c r="B46" s="357" t="s">
        <v>295</v>
      </c>
      <c r="C46" s="373" t="s">
        <v>74</v>
      </c>
      <c r="D46" s="356" t="s">
        <v>75</v>
      </c>
      <c r="E46" s="357" t="s">
        <v>279</v>
      </c>
      <c r="F46" s="358">
        <v>1</v>
      </c>
      <c r="G46" s="374">
        <v>375.73</v>
      </c>
      <c r="H46" s="358">
        <f aca="true" t="shared" si="6" ref="H46:H52">F46*G46</f>
        <v>375.73</v>
      </c>
      <c r="I46" s="358">
        <f>(G46*J19)+G46</f>
        <v>466.0691395583227</v>
      </c>
      <c r="J46" s="375">
        <f>I46*F46</f>
        <v>466.0691395583227</v>
      </c>
      <c r="K46" s="400"/>
      <c r="L46" s="91">
        <v>1</v>
      </c>
      <c r="M46" s="91">
        <v>0</v>
      </c>
      <c r="N46" s="91">
        <f t="shared" si="0"/>
        <v>1</v>
      </c>
      <c r="O46" s="91">
        <f t="shared" si="1"/>
        <v>466.0691395583227</v>
      </c>
      <c r="P46" s="91"/>
      <c r="Q46" s="402"/>
      <c r="R46" s="46"/>
      <c r="T46" s="403"/>
    </row>
    <row r="47" spans="1:20" s="11" customFormat="1" ht="12.75">
      <c r="A47" s="361" t="s">
        <v>417</v>
      </c>
      <c r="B47" s="361" t="s">
        <v>295</v>
      </c>
      <c r="C47" s="359" t="s">
        <v>99</v>
      </c>
      <c r="D47" s="360" t="s">
        <v>97</v>
      </c>
      <c r="E47" s="361" t="s">
        <v>279</v>
      </c>
      <c r="F47" s="362">
        <v>4</v>
      </c>
      <c r="G47" s="376">
        <v>356.28</v>
      </c>
      <c r="H47" s="362">
        <f t="shared" si="6"/>
        <v>1425.12</v>
      </c>
      <c r="I47" s="362">
        <f>(G47*J19)+G47</f>
        <v>441.94265308024166</v>
      </c>
      <c r="J47" s="377">
        <f>I47*F47</f>
        <v>1767.7706123209666</v>
      </c>
      <c r="K47" s="400"/>
      <c r="L47" s="91">
        <v>4</v>
      </c>
      <c r="M47" s="91">
        <v>0</v>
      </c>
      <c r="N47" s="91">
        <f t="shared" si="0"/>
        <v>4</v>
      </c>
      <c r="O47" s="91">
        <f t="shared" si="1"/>
        <v>1767.7706123209666</v>
      </c>
      <c r="P47" s="91"/>
      <c r="Q47" s="402"/>
      <c r="R47" s="46"/>
      <c r="T47" s="403"/>
    </row>
    <row r="48" spans="1:20" s="11" customFormat="1" ht="12.75">
      <c r="A48" s="361" t="s">
        <v>418</v>
      </c>
      <c r="B48" s="361" t="s">
        <v>295</v>
      </c>
      <c r="C48" s="359" t="s">
        <v>175</v>
      </c>
      <c r="D48" s="360" t="s">
        <v>98</v>
      </c>
      <c r="E48" s="361" t="s">
        <v>279</v>
      </c>
      <c r="F48" s="362">
        <v>2</v>
      </c>
      <c r="G48" s="376">
        <v>254.2</v>
      </c>
      <c r="H48" s="362">
        <f t="shared" si="6"/>
        <v>508.4</v>
      </c>
      <c r="I48" s="362">
        <f>(G48*J19)+G48</f>
        <v>315.31891325080676</v>
      </c>
      <c r="J48" s="377">
        <f>I48*F48</f>
        <v>630.6378265016135</v>
      </c>
      <c r="K48" s="400"/>
      <c r="L48" s="91">
        <v>2</v>
      </c>
      <c r="M48" s="91">
        <v>0</v>
      </c>
      <c r="N48" s="91">
        <f t="shared" si="0"/>
        <v>2</v>
      </c>
      <c r="O48" s="91">
        <f t="shared" si="1"/>
        <v>630.6378265016135</v>
      </c>
      <c r="P48" s="91"/>
      <c r="Q48" s="402"/>
      <c r="R48" s="46"/>
      <c r="T48" s="403"/>
    </row>
    <row r="49" spans="1:20" s="11" customFormat="1" ht="15" customHeight="1">
      <c r="A49" s="361" t="s">
        <v>102</v>
      </c>
      <c r="B49" s="361"/>
      <c r="C49" s="361" t="s">
        <v>597</v>
      </c>
      <c r="D49" s="360" t="s">
        <v>555</v>
      </c>
      <c r="E49" s="361" t="s">
        <v>276</v>
      </c>
      <c r="F49" s="362">
        <v>32.48</v>
      </c>
      <c r="G49" s="376">
        <v>35.24</v>
      </c>
      <c r="H49" s="362">
        <f t="shared" si="6"/>
        <v>1144.5952</v>
      </c>
      <c r="I49" s="362">
        <f>(G49*J19)+G49</f>
        <v>43.712976014785326</v>
      </c>
      <c r="J49" s="377">
        <f>I49*F49</f>
        <v>1419.7974609602272</v>
      </c>
      <c r="K49" s="400"/>
      <c r="L49" s="91">
        <v>32.48</v>
      </c>
      <c r="M49" s="91">
        <v>0</v>
      </c>
      <c r="N49" s="91">
        <f t="shared" si="0"/>
        <v>32.48</v>
      </c>
      <c r="O49" s="91">
        <f t="shared" si="1"/>
        <v>1419.7974609602272</v>
      </c>
      <c r="P49" s="91"/>
      <c r="Q49" s="402"/>
      <c r="R49" s="46"/>
      <c r="T49" s="403"/>
    </row>
    <row r="50" spans="1:20" s="11" customFormat="1" ht="24" customHeight="1">
      <c r="A50" s="361" t="s">
        <v>103</v>
      </c>
      <c r="B50" s="361" t="s">
        <v>294</v>
      </c>
      <c r="C50" s="359" t="s">
        <v>308</v>
      </c>
      <c r="D50" s="360" t="s">
        <v>458</v>
      </c>
      <c r="E50" s="361" t="s">
        <v>279</v>
      </c>
      <c r="F50" s="362">
        <v>8</v>
      </c>
      <c r="G50" s="376">
        <v>301.55</v>
      </c>
      <c r="H50" s="362">
        <f t="shared" si="6"/>
        <v>2412.4</v>
      </c>
      <c r="I50" s="362">
        <f>(G50*J19)+G50</f>
        <v>374.05357313446416</v>
      </c>
      <c r="J50" s="377">
        <f>I50*F50</f>
        <v>2992.4285850757133</v>
      </c>
      <c r="K50" s="400"/>
      <c r="L50" s="91">
        <v>8</v>
      </c>
      <c r="M50" s="91">
        <v>0</v>
      </c>
      <c r="N50" s="91">
        <f t="shared" si="0"/>
        <v>8</v>
      </c>
      <c r="O50" s="91">
        <f t="shared" si="1"/>
        <v>2992.4285850757133</v>
      </c>
      <c r="P50" s="91"/>
      <c r="Q50" s="402"/>
      <c r="R50" s="46"/>
      <c r="T50" s="403"/>
    </row>
    <row r="51" spans="1:20" s="11" customFormat="1" ht="12.75">
      <c r="A51" s="361" t="s">
        <v>550</v>
      </c>
      <c r="B51" s="361" t="s">
        <v>295</v>
      </c>
      <c r="C51" s="359" t="s">
        <v>709</v>
      </c>
      <c r="D51" s="360" t="s">
        <v>587</v>
      </c>
      <c r="E51" s="361" t="s">
        <v>276</v>
      </c>
      <c r="F51" s="362">
        <v>51.54</v>
      </c>
      <c r="G51" s="376">
        <v>367.62</v>
      </c>
      <c r="H51" s="362">
        <f t="shared" si="6"/>
        <v>18947.1348</v>
      </c>
      <c r="I51" s="362">
        <f>(G51*J19)+G51</f>
        <v>456.0092009805727</v>
      </c>
      <c r="J51" s="377">
        <f>F51*I51</f>
        <v>23502.714218538717</v>
      </c>
      <c r="K51" s="400"/>
      <c r="L51" s="91">
        <v>51.54</v>
      </c>
      <c r="M51" s="91">
        <v>0</v>
      </c>
      <c r="N51" s="91">
        <f t="shared" si="0"/>
        <v>51.54</v>
      </c>
      <c r="O51" s="91">
        <f t="shared" si="1"/>
        <v>23502.714218538717</v>
      </c>
      <c r="P51" s="91"/>
      <c r="Q51" s="402"/>
      <c r="R51" s="46"/>
      <c r="T51" s="403"/>
    </row>
    <row r="52" spans="1:20" s="11" customFormat="1" ht="12.75">
      <c r="A52" s="348" t="s">
        <v>551</v>
      </c>
      <c r="B52" s="348" t="s">
        <v>295</v>
      </c>
      <c r="C52" s="349">
        <v>72117</v>
      </c>
      <c r="D52" s="350" t="s">
        <v>554</v>
      </c>
      <c r="E52" s="348" t="s">
        <v>276</v>
      </c>
      <c r="F52" s="351">
        <v>51.54</v>
      </c>
      <c r="G52" s="365">
        <v>68.95</v>
      </c>
      <c r="H52" s="351">
        <f t="shared" si="6"/>
        <v>3553.683</v>
      </c>
      <c r="I52" s="351">
        <f>(G52*J19)+G52</f>
        <v>85.52808445571647</v>
      </c>
      <c r="J52" s="352">
        <f>F52*I52</f>
        <v>4408.117472847626</v>
      </c>
      <c r="K52" s="400"/>
      <c r="L52" s="91">
        <v>51.54</v>
      </c>
      <c r="M52" s="91">
        <v>0</v>
      </c>
      <c r="N52" s="91">
        <f t="shared" si="0"/>
        <v>51.54</v>
      </c>
      <c r="O52" s="91">
        <f t="shared" si="1"/>
        <v>4408.117472847626</v>
      </c>
      <c r="P52" s="91"/>
      <c r="Q52" s="402"/>
      <c r="R52" s="46"/>
      <c r="T52" s="403"/>
    </row>
    <row r="53" spans="1:20" s="11" customFormat="1" ht="12.75">
      <c r="A53" s="366" t="s">
        <v>160</v>
      </c>
      <c r="B53" s="384"/>
      <c r="C53" s="384"/>
      <c r="D53" s="369" t="s">
        <v>266</v>
      </c>
      <c r="E53" s="367"/>
      <c r="F53" s="370">
        <v>0</v>
      </c>
      <c r="G53" s="370"/>
      <c r="H53" s="370"/>
      <c r="I53" s="370"/>
      <c r="J53" s="372">
        <f>SUM(J54:J56)</f>
        <v>78497.6505093207</v>
      </c>
      <c r="K53" s="404"/>
      <c r="L53" s="91"/>
      <c r="M53" s="94">
        <v>0</v>
      </c>
      <c r="N53" s="91">
        <f t="shared" si="0"/>
        <v>0</v>
      </c>
      <c r="O53" s="91">
        <f t="shared" si="1"/>
        <v>0</v>
      </c>
      <c r="P53" s="94"/>
      <c r="Q53" s="402">
        <f>J53</f>
        <v>78497.6505093207</v>
      </c>
      <c r="R53" s="46"/>
      <c r="T53" s="403">
        <v>265.68</v>
      </c>
    </row>
    <row r="54" spans="1:20" s="11" customFormat="1" ht="22.5">
      <c r="A54" s="357" t="s">
        <v>419</v>
      </c>
      <c r="B54" s="357" t="s">
        <v>294</v>
      </c>
      <c r="C54" s="373" t="s">
        <v>567</v>
      </c>
      <c r="D54" s="356" t="s">
        <v>568</v>
      </c>
      <c r="E54" s="357" t="s">
        <v>276</v>
      </c>
      <c r="F54" s="358">
        <v>338.444</v>
      </c>
      <c r="G54" s="374">
        <v>61.29</v>
      </c>
      <c r="H54" s="358">
        <f>F54*G54</f>
        <v>20743.23276</v>
      </c>
      <c r="I54" s="358">
        <f>(G54*J19)+G54</f>
        <v>76.02634222321772</v>
      </c>
      <c r="J54" s="375">
        <f>I54*F54</f>
        <v>25730.659367394703</v>
      </c>
      <c r="K54" s="400"/>
      <c r="L54" s="91">
        <v>338.444</v>
      </c>
      <c r="M54" s="91">
        <v>0</v>
      </c>
      <c r="N54" s="91">
        <f t="shared" si="0"/>
        <v>338.444</v>
      </c>
      <c r="O54" s="91">
        <f aca="true" t="shared" si="7" ref="O54:O85">N54*I54</f>
        <v>25730.659367394703</v>
      </c>
      <c r="P54" s="91"/>
      <c r="Q54" s="402"/>
      <c r="R54" s="46"/>
      <c r="T54" s="403"/>
    </row>
    <row r="55" spans="1:20" s="11" customFormat="1" ht="15" customHeight="1">
      <c r="A55" s="361" t="s">
        <v>420</v>
      </c>
      <c r="B55" s="361" t="s">
        <v>294</v>
      </c>
      <c r="C55" s="359" t="s">
        <v>588</v>
      </c>
      <c r="D55" s="360" t="s">
        <v>589</v>
      </c>
      <c r="E55" s="361" t="s">
        <v>276</v>
      </c>
      <c r="F55" s="362">
        <v>338.444</v>
      </c>
      <c r="G55" s="376">
        <v>97.29</v>
      </c>
      <c r="H55" s="362">
        <f>F55*G55</f>
        <v>32927.21676</v>
      </c>
      <c r="I55" s="362">
        <f>(G55*J19)+G55</f>
        <v>120.68204984331625</v>
      </c>
      <c r="J55" s="377">
        <f>I55*F55</f>
        <v>40844.11567717133</v>
      </c>
      <c r="K55" s="400"/>
      <c r="L55" s="91">
        <v>338.444</v>
      </c>
      <c r="M55" s="91">
        <v>0</v>
      </c>
      <c r="N55" s="91">
        <f t="shared" si="0"/>
        <v>338.444</v>
      </c>
      <c r="O55" s="91">
        <f t="shared" si="7"/>
        <v>40844.11567717133</v>
      </c>
      <c r="P55" s="91"/>
      <c r="Q55" s="402"/>
      <c r="T55" s="403"/>
    </row>
    <row r="56" spans="1:20" s="11" customFormat="1" ht="24" customHeight="1">
      <c r="A56" s="348" t="s">
        <v>421</v>
      </c>
      <c r="B56" s="348" t="s">
        <v>295</v>
      </c>
      <c r="C56" s="349" t="s">
        <v>170</v>
      </c>
      <c r="D56" s="350" t="s">
        <v>681</v>
      </c>
      <c r="E56" s="348" t="s">
        <v>276</v>
      </c>
      <c r="F56" s="351">
        <v>156.8</v>
      </c>
      <c r="G56" s="365">
        <v>61.3</v>
      </c>
      <c r="H56" s="351">
        <f>F56*G56</f>
        <v>9611.84</v>
      </c>
      <c r="I56" s="351">
        <f>(G56*J19)+G56</f>
        <v>76.03874658644553</v>
      </c>
      <c r="J56" s="352">
        <f>I56*F56</f>
        <v>11922.87546475466</v>
      </c>
      <c r="K56" s="400"/>
      <c r="L56" s="91">
        <v>156.8</v>
      </c>
      <c r="M56" s="91">
        <v>0</v>
      </c>
      <c r="N56" s="91">
        <f t="shared" si="0"/>
        <v>156.8</v>
      </c>
      <c r="O56" s="91">
        <f t="shared" si="7"/>
        <v>11922.87546475466</v>
      </c>
      <c r="P56" s="91"/>
      <c r="Q56" s="402"/>
      <c r="T56" s="403"/>
    </row>
    <row r="57" spans="1:17" s="11" customFormat="1" ht="12.75">
      <c r="A57" s="366" t="s">
        <v>387</v>
      </c>
      <c r="B57" s="367"/>
      <c r="C57" s="384"/>
      <c r="D57" s="369" t="s">
        <v>327</v>
      </c>
      <c r="E57" s="367"/>
      <c r="F57" s="370">
        <v>0</v>
      </c>
      <c r="G57" s="370"/>
      <c r="H57" s="370"/>
      <c r="I57" s="370"/>
      <c r="J57" s="372">
        <f>SUM(J58:J71)</f>
        <v>4670.789167468822</v>
      </c>
      <c r="K57" s="404"/>
      <c r="L57" s="91"/>
      <c r="M57" s="94">
        <v>0</v>
      </c>
      <c r="N57" s="91">
        <f t="shared" si="0"/>
        <v>0</v>
      </c>
      <c r="O57" s="91">
        <f t="shared" si="7"/>
        <v>0</v>
      </c>
      <c r="P57" s="94"/>
      <c r="Q57" s="402">
        <f>J57</f>
        <v>4670.789167468822</v>
      </c>
    </row>
    <row r="58" spans="1:20" s="11" customFormat="1" ht="15" customHeight="1">
      <c r="A58" s="357" t="s">
        <v>422</v>
      </c>
      <c r="B58" s="357" t="s">
        <v>295</v>
      </c>
      <c r="C58" s="373" t="s">
        <v>700</v>
      </c>
      <c r="D58" s="356" t="s">
        <v>454</v>
      </c>
      <c r="E58" s="357" t="s">
        <v>278</v>
      </c>
      <c r="F58" s="358">
        <v>99.7</v>
      </c>
      <c r="G58" s="374">
        <v>9.69</v>
      </c>
      <c r="H58" s="358">
        <f aca="true" t="shared" si="8" ref="H58:H102">F58*G58</f>
        <v>966.093</v>
      </c>
      <c r="I58" s="358">
        <f>(G58*J19)+G58</f>
        <v>12.019827967743185</v>
      </c>
      <c r="J58" s="375">
        <f>F58*I58</f>
        <v>1198.3768483839956</v>
      </c>
      <c r="K58" s="400"/>
      <c r="L58" s="111">
        <v>99.7</v>
      </c>
      <c r="M58" s="91">
        <v>0</v>
      </c>
      <c r="N58" s="91">
        <f t="shared" si="0"/>
        <v>99.7</v>
      </c>
      <c r="O58" s="91">
        <f t="shared" si="7"/>
        <v>1198.3768483839956</v>
      </c>
      <c r="P58" s="91"/>
      <c r="Q58" s="402"/>
      <c r="T58" s="403"/>
    </row>
    <row r="59" spans="1:23" s="11" customFormat="1" ht="15" customHeight="1">
      <c r="A59" s="361" t="s">
        <v>423</v>
      </c>
      <c r="B59" s="361" t="s">
        <v>295</v>
      </c>
      <c r="C59" s="359" t="s">
        <v>670</v>
      </c>
      <c r="D59" s="360" t="s">
        <v>652</v>
      </c>
      <c r="E59" s="361" t="s">
        <v>278</v>
      </c>
      <c r="F59" s="362">
        <v>78.25</v>
      </c>
      <c r="G59" s="376">
        <v>16.99</v>
      </c>
      <c r="H59" s="362">
        <f t="shared" si="8"/>
        <v>1329.4675</v>
      </c>
      <c r="I59" s="362">
        <f>(G59*J19)+G59</f>
        <v>21.075013124040936</v>
      </c>
      <c r="J59" s="377">
        <f>F59*I59</f>
        <v>1649.1197769562032</v>
      </c>
      <c r="K59" s="400"/>
      <c r="L59" s="111">
        <v>78.25</v>
      </c>
      <c r="M59" s="91">
        <v>0</v>
      </c>
      <c r="N59" s="91">
        <f t="shared" si="0"/>
        <v>78.25</v>
      </c>
      <c r="O59" s="91">
        <f t="shared" si="7"/>
        <v>1649.1197769562032</v>
      </c>
      <c r="P59" s="91"/>
      <c r="Q59" s="402"/>
      <c r="T59" s="403"/>
      <c r="W59" s="406"/>
    </row>
    <row r="60" spans="1:23" s="11" customFormat="1" ht="15" customHeight="1">
      <c r="A60" s="361" t="s">
        <v>424</v>
      </c>
      <c r="B60" s="361" t="s">
        <v>295</v>
      </c>
      <c r="C60" s="363">
        <v>72438</v>
      </c>
      <c r="D60" s="363" t="s">
        <v>326</v>
      </c>
      <c r="E60" s="361" t="s">
        <v>309</v>
      </c>
      <c r="F60" s="362">
        <v>6</v>
      </c>
      <c r="G60" s="376">
        <v>4.19</v>
      </c>
      <c r="H60" s="362">
        <f t="shared" si="8"/>
        <v>25.14</v>
      </c>
      <c r="I60" s="362">
        <f>(G60*J19)+G60</f>
        <v>5.197428192450356</v>
      </c>
      <c r="J60" s="377">
        <f aca="true" t="shared" si="9" ref="J60:J70">F60*I60</f>
        <v>31.18456915470213</v>
      </c>
      <c r="K60" s="400"/>
      <c r="L60" s="111">
        <v>6</v>
      </c>
      <c r="M60" s="91">
        <v>0</v>
      </c>
      <c r="N60" s="91">
        <f t="shared" si="0"/>
        <v>6</v>
      </c>
      <c r="O60" s="91">
        <f t="shared" si="7"/>
        <v>31.18456915470213</v>
      </c>
      <c r="P60" s="91"/>
      <c r="Q60" s="402"/>
      <c r="T60" s="403"/>
      <c r="W60" s="406"/>
    </row>
    <row r="61" spans="1:23" s="11" customFormat="1" ht="15" customHeight="1">
      <c r="A61" s="361" t="s">
        <v>425</v>
      </c>
      <c r="B61" s="361" t="s">
        <v>295</v>
      </c>
      <c r="C61" s="363">
        <v>72440</v>
      </c>
      <c r="D61" s="363" t="s">
        <v>669</v>
      </c>
      <c r="E61" s="361" t="s">
        <v>309</v>
      </c>
      <c r="F61" s="362">
        <v>13</v>
      </c>
      <c r="G61" s="376">
        <v>6.33</v>
      </c>
      <c r="H61" s="362">
        <f t="shared" si="8"/>
        <v>82.29</v>
      </c>
      <c r="I61" s="362">
        <f>(G61*J19)+G61</f>
        <v>7.851961923200657</v>
      </c>
      <c r="J61" s="377">
        <f t="shared" si="9"/>
        <v>102.07550500160853</v>
      </c>
      <c r="K61" s="400"/>
      <c r="L61" s="111">
        <v>13</v>
      </c>
      <c r="M61" s="91">
        <v>0</v>
      </c>
      <c r="N61" s="91">
        <f t="shared" si="0"/>
        <v>13</v>
      </c>
      <c r="O61" s="91">
        <f t="shared" si="7"/>
        <v>102.07550500160853</v>
      </c>
      <c r="P61" s="91"/>
      <c r="Q61" s="402"/>
      <c r="T61" s="403"/>
      <c r="W61" s="406"/>
    </row>
    <row r="62" spans="1:23" s="11" customFormat="1" ht="15" customHeight="1">
      <c r="A62" s="361" t="s">
        <v>426</v>
      </c>
      <c r="B62" s="361" t="s">
        <v>295</v>
      </c>
      <c r="C62" s="363">
        <v>73638</v>
      </c>
      <c r="D62" s="363" t="s">
        <v>177</v>
      </c>
      <c r="E62" s="361" t="s">
        <v>309</v>
      </c>
      <c r="F62" s="362">
        <v>5</v>
      </c>
      <c r="G62" s="376">
        <v>10.23</v>
      </c>
      <c r="H62" s="362">
        <f t="shared" si="8"/>
        <v>51.150000000000006</v>
      </c>
      <c r="I62" s="362">
        <f>(G62*J19)+G62</f>
        <v>12.689663582044663</v>
      </c>
      <c r="J62" s="377">
        <f t="shared" si="9"/>
        <v>63.44831791022331</v>
      </c>
      <c r="K62" s="400"/>
      <c r="L62" s="111">
        <v>5</v>
      </c>
      <c r="M62" s="91">
        <v>0</v>
      </c>
      <c r="N62" s="91">
        <f t="shared" si="0"/>
        <v>5</v>
      </c>
      <c r="O62" s="91">
        <f t="shared" si="7"/>
        <v>63.44831791022331</v>
      </c>
      <c r="P62" s="91"/>
      <c r="Q62" s="402"/>
      <c r="T62" s="403"/>
      <c r="W62" s="406"/>
    </row>
    <row r="63" spans="1:23" s="11" customFormat="1" ht="15" customHeight="1">
      <c r="A63" s="361" t="s">
        <v>427</v>
      </c>
      <c r="B63" s="361" t="s">
        <v>295</v>
      </c>
      <c r="C63" s="363">
        <v>72571</v>
      </c>
      <c r="D63" s="363" t="s">
        <v>366</v>
      </c>
      <c r="E63" s="361" t="s">
        <v>309</v>
      </c>
      <c r="F63" s="362">
        <v>22</v>
      </c>
      <c r="G63" s="376">
        <v>3.83</v>
      </c>
      <c r="H63" s="362">
        <f t="shared" si="8"/>
        <v>84.26</v>
      </c>
      <c r="I63" s="362">
        <f>(G63*J19)+G63</f>
        <v>4.75087111624937</v>
      </c>
      <c r="J63" s="377">
        <f t="shared" si="9"/>
        <v>104.51916455748615</v>
      </c>
      <c r="K63" s="400"/>
      <c r="L63" s="111">
        <v>22</v>
      </c>
      <c r="M63" s="91">
        <v>0</v>
      </c>
      <c r="N63" s="91">
        <f t="shared" si="0"/>
        <v>22</v>
      </c>
      <c r="O63" s="91">
        <f t="shared" si="7"/>
        <v>104.51916455748615</v>
      </c>
      <c r="P63" s="91"/>
      <c r="Q63" s="402"/>
      <c r="T63" s="403"/>
      <c r="W63" s="406"/>
    </row>
    <row r="64" spans="1:23" s="11" customFormat="1" ht="15" customHeight="1">
      <c r="A64" s="361" t="s">
        <v>428</v>
      </c>
      <c r="B64" s="361" t="s">
        <v>295</v>
      </c>
      <c r="C64" s="363">
        <v>72576</v>
      </c>
      <c r="D64" s="363" t="s">
        <v>662</v>
      </c>
      <c r="E64" s="361" t="s">
        <v>309</v>
      </c>
      <c r="F64" s="362">
        <v>23</v>
      </c>
      <c r="G64" s="376">
        <v>6.22</v>
      </c>
      <c r="H64" s="362">
        <f t="shared" si="8"/>
        <v>143.06</v>
      </c>
      <c r="I64" s="362">
        <f>(G64*J19)+G64</f>
        <v>7.715513927694799</v>
      </c>
      <c r="J64" s="377">
        <f t="shared" si="9"/>
        <v>177.45682033698037</v>
      </c>
      <c r="K64" s="400"/>
      <c r="L64" s="111">
        <v>23</v>
      </c>
      <c r="M64" s="91">
        <v>0</v>
      </c>
      <c r="N64" s="91">
        <f t="shared" si="0"/>
        <v>23</v>
      </c>
      <c r="O64" s="91">
        <f t="shared" si="7"/>
        <v>177.45682033698037</v>
      </c>
      <c r="P64" s="91"/>
      <c r="Q64" s="402"/>
      <c r="T64" s="403"/>
      <c r="W64" s="406"/>
    </row>
    <row r="65" spans="1:23" s="11" customFormat="1" ht="15" customHeight="1">
      <c r="A65" s="361" t="s">
        <v>429</v>
      </c>
      <c r="B65" s="361" t="s">
        <v>295</v>
      </c>
      <c r="C65" s="363">
        <v>73640</v>
      </c>
      <c r="D65" s="363" t="s">
        <v>179</v>
      </c>
      <c r="E65" s="361" t="s">
        <v>309</v>
      </c>
      <c r="F65" s="362">
        <v>8</v>
      </c>
      <c r="G65" s="376">
        <v>7.39</v>
      </c>
      <c r="H65" s="362">
        <f t="shared" si="8"/>
        <v>59.12</v>
      </c>
      <c r="I65" s="362">
        <f>(G65*J19)+G65</f>
        <v>9.166824425348</v>
      </c>
      <c r="J65" s="377">
        <f t="shared" si="9"/>
        <v>73.334595402784</v>
      </c>
      <c r="K65" s="400"/>
      <c r="L65" s="111">
        <v>8</v>
      </c>
      <c r="M65" s="91">
        <v>0</v>
      </c>
      <c r="N65" s="91">
        <f t="shared" si="0"/>
        <v>8</v>
      </c>
      <c r="O65" s="91">
        <f t="shared" si="7"/>
        <v>73.334595402784</v>
      </c>
      <c r="P65" s="91"/>
      <c r="Q65" s="402"/>
      <c r="T65" s="403"/>
      <c r="W65" s="406"/>
    </row>
    <row r="66" spans="1:23" s="11" customFormat="1" ht="15" customHeight="1">
      <c r="A66" s="361" t="s">
        <v>430</v>
      </c>
      <c r="B66" s="361" t="s">
        <v>294</v>
      </c>
      <c r="C66" s="359" t="s">
        <v>665</v>
      </c>
      <c r="D66" s="363" t="s">
        <v>666</v>
      </c>
      <c r="E66" s="361" t="s">
        <v>309</v>
      </c>
      <c r="F66" s="362">
        <v>2</v>
      </c>
      <c r="G66" s="376">
        <v>53.08</v>
      </c>
      <c r="H66" s="362">
        <f t="shared" si="8"/>
        <v>106.16</v>
      </c>
      <c r="I66" s="362">
        <f>(G66*J19)+G66</f>
        <v>65.8423600131897</v>
      </c>
      <c r="J66" s="377">
        <f t="shared" si="9"/>
        <v>131.6847200263794</v>
      </c>
      <c r="K66" s="400"/>
      <c r="L66" s="111">
        <v>2</v>
      </c>
      <c r="M66" s="91">
        <v>0</v>
      </c>
      <c r="N66" s="91">
        <f t="shared" si="0"/>
        <v>2</v>
      </c>
      <c r="O66" s="91">
        <f t="shared" si="7"/>
        <v>131.6847200263794</v>
      </c>
      <c r="P66" s="91"/>
      <c r="Q66" s="402"/>
      <c r="T66" s="403"/>
      <c r="W66" s="406"/>
    </row>
    <row r="67" spans="1:23" s="11" customFormat="1" ht="15" customHeight="1">
      <c r="A67" s="361" t="s">
        <v>431</v>
      </c>
      <c r="B67" s="361" t="s">
        <v>295</v>
      </c>
      <c r="C67" s="359">
        <v>74182</v>
      </c>
      <c r="D67" s="363" t="s">
        <v>668</v>
      </c>
      <c r="E67" s="361" t="s">
        <v>309</v>
      </c>
      <c r="F67" s="362">
        <v>4</v>
      </c>
      <c r="G67" s="376">
        <v>77.63</v>
      </c>
      <c r="H67" s="362">
        <f t="shared" si="8"/>
        <v>310.52</v>
      </c>
      <c r="I67" s="362">
        <f>(G67*J19)+G67</f>
        <v>96.29507173745132</v>
      </c>
      <c r="J67" s="377">
        <f t="shared" si="9"/>
        <v>385.1802869498053</v>
      </c>
      <c r="K67" s="400"/>
      <c r="L67" s="111">
        <v>4</v>
      </c>
      <c r="M67" s="91">
        <v>0</v>
      </c>
      <c r="N67" s="91">
        <f t="shared" si="0"/>
        <v>4</v>
      </c>
      <c r="O67" s="91">
        <f t="shared" si="7"/>
        <v>385.1802869498053</v>
      </c>
      <c r="P67" s="91"/>
      <c r="Q67" s="402"/>
      <c r="T67" s="403"/>
      <c r="W67" s="406"/>
    </row>
    <row r="68" spans="1:23" s="11" customFormat="1" ht="15" customHeight="1">
      <c r="A68" s="361" t="s">
        <v>432</v>
      </c>
      <c r="B68" s="361" t="s">
        <v>295</v>
      </c>
      <c r="C68" s="359" t="s">
        <v>671</v>
      </c>
      <c r="D68" s="363" t="s">
        <v>672</v>
      </c>
      <c r="E68" s="361" t="s">
        <v>309</v>
      </c>
      <c r="F68" s="362">
        <v>1</v>
      </c>
      <c r="G68" s="376">
        <v>29.98</v>
      </c>
      <c r="H68" s="362">
        <f t="shared" si="8"/>
        <v>29.98</v>
      </c>
      <c r="I68" s="362">
        <f>(G68*J19)+G68</f>
        <v>37.18828095695982</v>
      </c>
      <c r="J68" s="377">
        <f t="shared" si="9"/>
        <v>37.18828095695982</v>
      </c>
      <c r="K68" s="400"/>
      <c r="L68" s="111">
        <v>1</v>
      </c>
      <c r="M68" s="91">
        <v>0</v>
      </c>
      <c r="N68" s="91">
        <f t="shared" si="0"/>
        <v>1</v>
      </c>
      <c r="O68" s="91">
        <f t="shared" si="7"/>
        <v>37.18828095695982</v>
      </c>
      <c r="P68" s="91"/>
      <c r="Q68" s="402"/>
      <c r="T68" s="403"/>
      <c r="W68" s="406"/>
    </row>
    <row r="69" spans="1:23" s="11" customFormat="1" ht="15" customHeight="1">
      <c r="A69" s="361" t="s">
        <v>180</v>
      </c>
      <c r="B69" s="361" t="s">
        <v>295</v>
      </c>
      <c r="C69" s="359">
        <v>72798</v>
      </c>
      <c r="D69" s="363" t="s">
        <v>660</v>
      </c>
      <c r="E69" s="361" t="s">
        <v>309</v>
      </c>
      <c r="F69" s="362">
        <v>3</v>
      </c>
      <c r="G69" s="376">
        <v>16.05</v>
      </c>
      <c r="H69" s="362">
        <f t="shared" si="8"/>
        <v>48.150000000000006</v>
      </c>
      <c r="I69" s="362">
        <f>(G69*J19)+G69</f>
        <v>19.909002980627257</v>
      </c>
      <c r="J69" s="377">
        <f t="shared" si="9"/>
        <v>59.72700894188177</v>
      </c>
      <c r="K69" s="400"/>
      <c r="L69" s="111">
        <v>3</v>
      </c>
      <c r="M69" s="91">
        <v>0</v>
      </c>
      <c r="N69" s="91">
        <f t="shared" si="0"/>
        <v>3</v>
      </c>
      <c r="O69" s="91">
        <f t="shared" si="7"/>
        <v>59.72700894188177</v>
      </c>
      <c r="P69" s="91"/>
      <c r="Q69" s="402"/>
      <c r="T69" s="403"/>
      <c r="W69" s="406"/>
    </row>
    <row r="70" spans="1:23" s="11" customFormat="1" ht="15" customHeight="1">
      <c r="A70" s="361" t="s">
        <v>663</v>
      </c>
      <c r="B70" s="361" t="s">
        <v>295</v>
      </c>
      <c r="C70" s="359">
        <v>72783</v>
      </c>
      <c r="D70" s="364" t="s">
        <v>661</v>
      </c>
      <c r="E70" s="361" t="s">
        <v>309</v>
      </c>
      <c r="F70" s="362">
        <v>1</v>
      </c>
      <c r="G70" s="376">
        <v>8.81</v>
      </c>
      <c r="H70" s="362">
        <f t="shared" si="8"/>
        <v>8.81</v>
      </c>
      <c r="I70" s="362">
        <f>(G70*J19)+G70</f>
        <v>10.928244003696332</v>
      </c>
      <c r="J70" s="377">
        <f t="shared" si="9"/>
        <v>10.928244003696332</v>
      </c>
      <c r="K70" s="400"/>
      <c r="L70" s="111">
        <v>1</v>
      </c>
      <c r="M70" s="91">
        <v>0</v>
      </c>
      <c r="N70" s="91">
        <f t="shared" si="0"/>
        <v>1</v>
      </c>
      <c r="O70" s="91">
        <f t="shared" si="7"/>
        <v>10.928244003696332</v>
      </c>
      <c r="P70" s="91"/>
      <c r="Q70" s="402"/>
      <c r="T70" s="403"/>
      <c r="W70" s="406"/>
    </row>
    <row r="71" spans="1:23" s="354" customFormat="1" ht="15" customHeight="1">
      <c r="A71" s="348" t="s">
        <v>664</v>
      </c>
      <c r="B71" s="348" t="s">
        <v>294</v>
      </c>
      <c r="C71" s="349" t="s">
        <v>631</v>
      </c>
      <c r="D71" s="350" t="s">
        <v>632</v>
      </c>
      <c r="E71" s="348" t="s">
        <v>309</v>
      </c>
      <c r="F71" s="351">
        <v>1</v>
      </c>
      <c r="G71" s="365">
        <v>521.24</v>
      </c>
      <c r="H71" s="351">
        <f t="shared" si="8"/>
        <v>521.24</v>
      </c>
      <c r="I71" s="351">
        <f>(G71*J19)+G71</f>
        <v>646.5650288861153</v>
      </c>
      <c r="J71" s="352">
        <f>F71*I71</f>
        <v>646.5650288861153</v>
      </c>
      <c r="K71" s="353"/>
      <c r="L71" s="111">
        <v>1</v>
      </c>
      <c r="M71" s="111">
        <v>0</v>
      </c>
      <c r="N71" s="111">
        <f t="shared" si="0"/>
        <v>1</v>
      </c>
      <c r="O71" s="111">
        <f t="shared" si="7"/>
        <v>646.5650288861153</v>
      </c>
      <c r="P71" s="111"/>
      <c r="Q71" s="144"/>
      <c r="T71" s="144"/>
      <c r="W71" s="355"/>
    </row>
    <row r="72" spans="1:23" s="11" customFormat="1" ht="12.75">
      <c r="A72" s="366" t="s">
        <v>388</v>
      </c>
      <c r="B72" s="384"/>
      <c r="C72" s="384"/>
      <c r="D72" s="369" t="s">
        <v>167</v>
      </c>
      <c r="E72" s="367"/>
      <c r="F72" s="370">
        <v>0</v>
      </c>
      <c r="G72" s="370"/>
      <c r="H72" s="370"/>
      <c r="I72" s="370"/>
      <c r="J72" s="372">
        <f>SUM(J73:J87)</f>
        <v>3910.7655215778377</v>
      </c>
      <c r="K72" s="404"/>
      <c r="L72" s="91"/>
      <c r="M72" s="94">
        <v>0</v>
      </c>
      <c r="N72" s="91">
        <f t="shared" si="0"/>
        <v>0</v>
      </c>
      <c r="O72" s="91">
        <f t="shared" si="7"/>
        <v>0</v>
      </c>
      <c r="P72" s="94"/>
      <c r="Q72" s="402">
        <f>J72</f>
        <v>3910.7655215778377</v>
      </c>
      <c r="T72" s="403"/>
      <c r="W72" s="406"/>
    </row>
    <row r="73" spans="1:23" s="11" customFormat="1" ht="15" customHeight="1">
      <c r="A73" s="357" t="s">
        <v>433</v>
      </c>
      <c r="B73" s="357" t="s">
        <v>295</v>
      </c>
      <c r="C73" s="373" t="s">
        <v>105</v>
      </c>
      <c r="D73" s="356" t="s">
        <v>312</v>
      </c>
      <c r="E73" s="357" t="s">
        <v>278</v>
      </c>
      <c r="F73" s="358">
        <v>37.43</v>
      </c>
      <c r="G73" s="374">
        <v>33.71</v>
      </c>
      <c r="H73" s="358">
        <f t="shared" si="8"/>
        <v>1261.7653</v>
      </c>
      <c r="I73" s="358">
        <f>(G73*J19)+G73</f>
        <v>41.81510844093114</v>
      </c>
      <c r="J73" s="375">
        <f aca="true" t="shared" si="10" ref="J73:J87">F73*I73</f>
        <v>1565.1395089440525</v>
      </c>
      <c r="K73" s="400"/>
      <c r="L73" s="91">
        <v>37.43</v>
      </c>
      <c r="M73" s="91">
        <v>0</v>
      </c>
      <c r="N73" s="91">
        <f aca="true" t="shared" si="11" ref="N73:N136">L73-M73</f>
        <v>37.43</v>
      </c>
      <c r="O73" s="91">
        <f t="shared" si="7"/>
        <v>1565.1395089440525</v>
      </c>
      <c r="P73" s="91"/>
      <c r="Q73" s="402"/>
      <c r="T73" s="403"/>
      <c r="W73" s="407"/>
    </row>
    <row r="74" spans="1:23" s="11" customFormat="1" ht="15" customHeight="1">
      <c r="A74" s="361" t="s">
        <v>434</v>
      </c>
      <c r="B74" s="361" t="s">
        <v>295</v>
      </c>
      <c r="C74" s="359" t="s">
        <v>106</v>
      </c>
      <c r="D74" s="360" t="s">
        <v>313</v>
      </c>
      <c r="E74" s="361" t="s">
        <v>278</v>
      </c>
      <c r="F74" s="362">
        <v>14.6</v>
      </c>
      <c r="G74" s="376">
        <v>23.1</v>
      </c>
      <c r="H74" s="362">
        <f t="shared" si="8"/>
        <v>337.26</v>
      </c>
      <c r="I74" s="362">
        <f>(G74*J19)+G74</f>
        <v>28.654079056229886</v>
      </c>
      <c r="J74" s="377">
        <f t="shared" si="10"/>
        <v>418.34955422095635</v>
      </c>
      <c r="K74" s="400"/>
      <c r="L74" s="91">
        <v>14.6</v>
      </c>
      <c r="M74" s="91">
        <v>0</v>
      </c>
      <c r="N74" s="91">
        <f t="shared" si="11"/>
        <v>14.6</v>
      </c>
      <c r="O74" s="91">
        <f t="shared" si="7"/>
        <v>418.34955422095635</v>
      </c>
      <c r="P74" s="91"/>
      <c r="Q74" s="402"/>
      <c r="T74" s="403"/>
      <c r="W74" s="407"/>
    </row>
    <row r="75" spans="1:23" s="11" customFormat="1" ht="15" customHeight="1">
      <c r="A75" s="361" t="s">
        <v>435</v>
      </c>
      <c r="B75" s="361" t="s">
        <v>295</v>
      </c>
      <c r="C75" s="359" t="s">
        <v>314</v>
      </c>
      <c r="D75" s="360" t="s">
        <v>315</v>
      </c>
      <c r="E75" s="361" t="s">
        <v>278</v>
      </c>
      <c r="F75" s="362">
        <v>17.85</v>
      </c>
      <c r="G75" s="376">
        <v>16.81</v>
      </c>
      <c r="H75" s="362">
        <f t="shared" si="8"/>
        <v>300.0585</v>
      </c>
      <c r="I75" s="362">
        <f>(G75*J19)+G75</f>
        <v>20.851734585940445</v>
      </c>
      <c r="J75" s="377">
        <f t="shared" si="10"/>
        <v>372.20346235903696</v>
      </c>
      <c r="K75" s="400"/>
      <c r="L75" s="91">
        <v>17.85</v>
      </c>
      <c r="M75" s="91">
        <v>0</v>
      </c>
      <c r="N75" s="91">
        <f t="shared" si="11"/>
        <v>17.85</v>
      </c>
      <c r="O75" s="91">
        <f t="shared" si="7"/>
        <v>372.20346235903696</v>
      </c>
      <c r="P75" s="91"/>
      <c r="Q75" s="402"/>
      <c r="T75" s="403"/>
      <c r="W75" s="407"/>
    </row>
    <row r="76" spans="1:23" s="11" customFormat="1" ht="15" customHeight="1">
      <c r="A76" s="361" t="s">
        <v>436</v>
      </c>
      <c r="B76" s="361" t="s">
        <v>295</v>
      </c>
      <c r="C76" s="359">
        <v>72461</v>
      </c>
      <c r="D76" s="360" t="s">
        <v>380</v>
      </c>
      <c r="E76" s="361" t="s">
        <v>309</v>
      </c>
      <c r="F76" s="362">
        <v>2</v>
      </c>
      <c r="G76" s="376">
        <v>23.26</v>
      </c>
      <c r="H76" s="362">
        <f t="shared" si="8"/>
        <v>46.52</v>
      </c>
      <c r="I76" s="362">
        <f>(G76*J19)+G76</f>
        <v>28.852548867874766</v>
      </c>
      <c r="J76" s="377">
        <f t="shared" si="10"/>
        <v>57.70509773574953</v>
      </c>
      <c r="K76" s="400"/>
      <c r="L76" s="91">
        <v>2</v>
      </c>
      <c r="M76" s="91">
        <v>0</v>
      </c>
      <c r="N76" s="91">
        <f t="shared" si="11"/>
        <v>2</v>
      </c>
      <c r="O76" s="91">
        <f t="shared" si="7"/>
        <v>57.70509773574953</v>
      </c>
      <c r="P76" s="91"/>
      <c r="Q76" s="402"/>
      <c r="T76" s="403"/>
      <c r="W76" s="407"/>
    </row>
    <row r="77" spans="1:23" s="11" customFormat="1" ht="15" customHeight="1">
      <c r="A77" s="361" t="s">
        <v>437</v>
      </c>
      <c r="B77" s="361" t="s">
        <v>295</v>
      </c>
      <c r="C77" s="359">
        <v>72459</v>
      </c>
      <c r="D77" s="360" t="s">
        <v>379</v>
      </c>
      <c r="E77" s="361" t="s">
        <v>309</v>
      </c>
      <c r="F77" s="362">
        <v>2</v>
      </c>
      <c r="G77" s="376">
        <v>21.92</v>
      </c>
      <c r="H77" s="362">
        <f t="shared" si="8"/>
        <v>43.84</v>
      </c>
      <c r="I77" s="362">
        <f>(G77*J19)+G77</f>
        <v>27.190364195348877</v>
      </c>
      <c r="J77" s="377">
        <f t="shared" si="10"/>
        <v>54.380728390697755</v>
      </c>
      <c r="K77" s="400"/>
      <c r="L77" s="91">
        <v>2</v>
      </c>
      <c r="M77" s="91">
        <v>0</v>
      </c>
      <c r="N77" s="91">
        <f t="shared" si="11"/>
        <v>2</v>
      </c>
      <c r="O77" s="91">
        <f t="shared" si="7"/>
        <v>54.380728390697755</v>
      </c>
      <c r="P77" s="91"/>
      <c r="Q77" s="402"/>
      <c r="T77" s="403"/>
      <c r="W77" s="407"/>
    </row>
    <row r="78" spans="1:23" s="11" customFormat="1" ht="15" customHeight="1">
      <c r="A78" s="361" t="s">
        <v>438</v>
      </c>
      <c r="B78" s="361" t="s">
        <v>295</v>
      </c>
      <c r="C78" s="359">
        <v>72685</v>
      </c>
      <c r="D78" s="360" t="s">
        <v>378</v>
      </c>
      <c r="E78" s="361" t="s">
        <v>309</v>
      </c>
      <c r="F78" s="362">
        <v>6</v>
      </c>
      <c r="G78" s="376">
        <v>16.05</v>
      </c>
      <c r="H78" s="362">
        <f t="shared" si="8"/>
        <v>96.30000000000001</v>
      </c>
      <c r="I78" s="362">
        <f>(G78*J19)+G78</f>
        <v>19.909002980627257</v>
      </c>
      <c r="J78" s="377">
        <f t="shared" si="10"/>
        <v>119.45401788376354</v>
      </c>
      <c r="K78" s="400"/>
      <c r="L78" s="91">
        <v>6</v>
      </c>
      <c r="M78" s="91">
        <v>0</v>
      </c>
      <c r="N78" s="91">
        <f t="shared" si="11"/>
        <v>6</v>
      </c>
      <c r="O78" s="91">
        <f t="shared" si="7"/>
        <v>119.45401788376354</v>
      </c>
      <c r="P78" s="91"/>
      <c r="Q78" s="402"/>
      <c r="T78" s="403"/>
      <c r="W78" s="407"/>
    </row>
    <row r="79" spans="1:23" s="11" customFormat="1" ht="15" customHeight="1">
      <c r="A79" s="361" t="s">
        <v>439</v>
      </c>
      <c r="B79" s="361" t="s">
        <v>295</v>
      </c>
      <c r="C79" s="359">
        <v>72558</v>
      </c>
      <c r="D79" s="360" t="s">
        <v>377</v>
      </c>
      <c r="E79" s="361" t="s">
        <v>309</v>
      </c>
      <c r="F79" s="362">
        <v>30</v>
      </c>
      <c r="G79" s="376">
        <v>6.33</v>
      </c>
      <c r="H79" s="362">
        <f t="shared" si="8"/>
        <v>189.9</v>
      </c>
      <c r="I79" s="362">
        <f>(G79*J19)+G79</f>
        <v>7.851961923200657</v>
      </c>
      <c r="J79" s="377">
        <f t="shared" si="10"/>
        <v>235.5588576960197</v>
      </c>
      <c r="K79" s="400"/>
      <c r="L79" s="91">
        <v>30</v>
      </c>
      <c r="M79" s="91">
        <v>0</v>
      </c>
      <c r="N79" s="91">
        <f t="shared" si="11"/>
        <v>30</v>
      </c>
      <c r="O79" s="91">
        <f t="shared" si="7"/>
        <v>235.5588576960197</v>
      </c>
      <c r="P79" s="91"/>
      <c r="Q79" s="402"/>
      <c r="T79" s="403"/>
      <c r="W79" s="407"/>
    </row>
    <row r="80" spans="1:23" s="11" customFormat="1" ht="15" customHeight="1">
      <c r="A80" s="361" t="s">
        <v>440</v>
      </c>
      <c r="B80" s="361" t="s">
        <v>295</v>
      </c>
      <c r="C80" s="359">
        <v>72560</v>
      </c>
      <c r="D80" s="360" t="s">
        <v>649</v>
      </c>
      <c r="E80" s="361" t="s">
        <v>309</v>
      </c>
      <c r="F80" s="362">
        <v>3</v>
      </c>
      <c r="G80" s="376">
        <v>7.53</v>
      </c>
      <c r="H80" s="362">
        <f t="shared" si="8"/>
        <v>22.59</v>
      </c>
      <c r="I80" s="362">
        <f>(G80*J19)+G80</f>
        <v>9.340485510537274</v>
      </c>
      <c r="J80" s="377">
        <f t="shared" si="10"/>
        <v>28.021456531611822</v>
      </c>
      <c r="K80" s="400"/>
      <c r="L80" s="111">
        <v>3</v>
      </c>
      <c r="M80" s="91">
        <v>0</v>
      </c>
      <c r="N80" s="91">
        <f t="shared" si="11"/>
        <v>3</v>
      </c>
      <c r="O80" s="91">
        <f t="shared" si="7"/>
        <v>28.021456531611822</v>
      </c>
      <c r="P80" s="91"/>
      <c r="Q80" s="402"/>
      <c r="T80" s="403"/>
      <c r="W80" s="407"/>
    </row>
    <row r="81" spans="1:23" s="11" customFormat="1" ht="15" customHeight="1">
      <c r="A81" s="361" t="s">
        <v>441</v>
      </c>
      <c r="B81" s="361" t="s">
        <v>295</v>
      </c>
      <c r="C81" s="359">
        <v>72556</v>
      </c>
      <c r="D81" s="360" t="s">
        <v>376</v>
      </c>
      <c r="E81" s="361" t="s">
        <v>309</v>
      </c>
      <c r="F81" s="362">
        <v>6</v>
      </c>
      <c r="G81" s="376">
        <v>15.71</v>
      </c>
      <c r="H81" s="362">
        <f t="shared" si="8"/>
        <v>94.26</v>
      </c>
      <c r="I81" s="362">
        <f>(G81*J19)+G81</f>
        <v>19.487254630881882</v>
      </c>
      <c r="J81" s="377">
        <f t="shared" si="10"/>
        <v>116.9235277852913</v>
      </c>
      <c r="K81" s="400"/>
      <c r="L81" s="91">
        <v>6</v>
      </c>
      <c r="M81" s="91">
        <v>0</v>
      </c>
      <c r="N81" s="91">
        <f t="shared" si="11"/>
        <v>6</v>
      </c>
      <c r="O81" s="91">
        <f t="shared" si="7"/>
        <v>116.9235277852913</v>
      </c>
      <c r="P81" s="91"/>
      <c r="Q81" s="402"/>
      <c r="T81" s="403"/>
      <c r="W81" s="407"/>
    </row>
    <row r="82" spans="1:23" s="11" customFormat="1" ht="15" customHeight="1">
      <c r="A82" s="361" t="s">
        <v>442</v>
      </c>
      <c r="B82" s="361" t="s">
        <v>295</v>
      </c>
      <c r="C82" s="359">
        <v>72539</v>
      </c>
      <c r="D82" s="360" t="s">
        <v>375</v>
      </c>
      <c r="E82" s="361" t="s">
        <v>309</v>
      </c>
      <c r="F82" s="362">
        <v>3</v>
      </c>
      <c r="G82" s="376">
        <v>17.16</v>
      </c>
      <c r="H82" s="362">
        <f t="shared" si="8"/>
        <v>51.480000000000004</v>
      </c>
      <c r="I82" s="362">
        <f>(G82*J19)+G82</f>
        <v>21.28588729891363</v>
      </c>
      <c r="J82" s="377">
        <f t="shared" si="10"/>
        <v>63.857661896740886</v>
      </c>
      <c r="K82" s="400"/>
      <c r="L82" s="91">
        <v>3</v>
      </c>
      <c r="M82" s="91">
        <v>0</v>
      </c>
      <c r="N82" s="91">
        <f t="shared" si="11"/>
        <v>3</v>
      </c>
      <c r="O82" s="91">
        <f t="shared" si="7"/>
        <v>63.857661896740886</v>
      </c>
      <c r="P82" s="91"/>
      <c r="Q82" s="402"/>
      <c r="T82" s="403"/>
      <c r="W82" s="407"/>
    </row>
    <row r="83" spans="1:23" s="11" customFormat="1" ht="15" customHeight="1">
      <c r="A83" s="361" t="s">
        <v>443</v>
      </c>
      <c r="B83" s="361" t="s">
        <v>295</v>
      </c>
      <c r="C83" s="359">
        <v>72561</v>
      </c>
      <c r="D83" s="360" t="s">
        <v>374</v>
      </c>
      <c r="E83" s="361" t="s">
        <v>309</v>
      </c>
      <c r="F83" s="362">
        <v>1</v>
      </c>
      <c r="G83" s="376">
        <v>8.01</v>
      </c>
      <c r="H83" s="362">
        <f t="shared" si="8"/>
        <v>8.01</v>
      </c>
      <c r="I83" s="362">
        <f>(G83*J19)+G83</f>
        <v>9.93589494547192</v>
      </c>
      <c r="J83" s="377">
        <f t="shared" si="10"/>
        <v>9.93589494547192</v>
      </c>
      <c r="K83" s="400"/>
      <c r="L83" s="91">
        <v>1</v>
      </c>
      <c r="M83" s="91">
        <v>0</v>
      </c>
      <c r="N83" s="91">
        <f t="shared" si="11"/>
        <v>1</v>
      </c>
      <c r="O83" s="91">
        <f t="shared" si="7"/>
        <v>9.93589494547192</v>
      </c>
      <c r="P83" s="91"/>
      <c r="Q83" s="402"/>
      <c r="T83" s="403"/>
      <c r="W83" s="407"/>
    </row>
    <row r="84" spans="1:23" s="11" customFormat="1" ht="15" customHeight="1">
      <c r="A84" s="361" t="s">
        <v>444</v>
      </c>
      <c r="B84" s="361" t="s">
        <v>295</v>
      </c>
      <c r="C84" s="359">
        <v>72559</v>
      </c>
      <c r="D84" s="360" t="s">
        <v>161</v>
      </c>
      <c r="E84" s="361" t="s">
        <v>309</v>
      </c>
      <c r="F84" s="362">
        <v>11</v>
      </c>
      <c r="G84" s="376">
        <v>6.52</v>
      </c>
      <c r="H84" s="362">
        <f t="shared" si="8"/>
        <v>71.72</v>
      </c>
      <c r="I84" s="362">
        <f>(G84*J19)+G84</f>
        <v>8.087644824528953</v>
      </c>
      <c r="J84" s="377">
        <f t="shared" si="10"/>
        <v>88.96409306981847</v>
      </c>
      <c r="K84" s="400"/>
      <c r="L84" s="91">
        <v>11</v>
      </c>
      <c r="M84" s="91">
        <v>0</v>
      </c>
      <c r="N84" s="91">
        <f t="shared" si="11"/>
        <v>11</v>
      </c>
      <c r="O84" s="91">
        <f t="shared" si="7"/>
        <v>88.96409306981847</v>
      </c>
      <c r="P84" s="91"/>
      <c r="Q84" s="402"/>
      <c r="T84" s="403"/>
      <c r="W84" s="407"/>
    </row>
    <row r="85" spans="1:23" s="11" customFormat="1" ht="15" customHeight="1">
      <c r="A85" s="361" t="s">
        <v>163</v>
      </c>
      <c r="B85" s="361" t="s">
        <v>295</v>
      </c>
      <c r="C85" s="359">
        <v>72557</v>
      </c>
      <c r="D85" s="360" t="s">
        <v>162</v>
      </c>
      <c r="E85" s="361" t="s">
        <v>309</v>
      </c>
      <c r="F85" s="362">
        <v>4</v>
      </c>
      <c r="G85" s="376">
        <v>15.27</v>
      </c>
      <c r="H85" s="362">
        <f t="shared" si="8"/>
        <v>61.08</v>
      </c>
      <c r="I85" s="362">
        <f>(G85*J19)+G85</f>
        <v>18.941462648858455</v>
      </c>
      <c r="J85" s="377">
        <f t="shared" si="10"/>
        <v>75.76585059543382</v>
      </c>
      <c r="K85" s="400"/>
      <c r="L85" s="91">
        <v>4</v>
      </c>
      <c r="M85" s="91">
        <v>0</v>
      </c>
      <c r="N85" s="91">
        <f t="shared" si="11"/>
        <v>4</v>
      </c>
      <c r="O85" s="91">
        <f t="shared" si="7"/>
        <v>75.76585059543382</v>
      </c>
      <c r="P85" s="91"/>
      <c r="Q85" s="402"/>
      <c r="T85" s="403"/>
      <c r="W85" s="407"/>
    </row>
    <row r="86" spans="1:23" s="11" customFormat="1" ht="15" customHeight="1">
      <c r="A86" s="361" t="s">
        <v>164</v>
      </c>
      <c r="B86" s="361" t="s">
        <v>295</v>
      </c>
      <c r="C86" s="359">
        <v>40777</v>
      </c>
      <c r="D86" s="360" t="s">
        <v>373</v>
      </c>
      <c r="E86" s="361" t="s">
        <v>311</v>
      </c>
      <c r="F86" s="362">
        <v>5</v>
      </c>
      <c r="G86" s="376">
        <v>27.39</v>
      </c>
      <c r="H86" s="362">
        <f t="shared" si="8"/>
        <v>136.95</v>
      </c>
      <c r="I86" s="362">
        <f>(G86*J19)+G86</f>
        <v>33.97555088095829</v>
      </c>
      <c r="J86" s="377">
        <f t="shared" si="10"/>
        <v>169.87775440479143</v>
      </c>
      <c r="K86" s="400"/>
      <c r="L86" s="91">
        <v>5</v>
      </c>
      <c r="M86" s="91">
        <v>0</v>
      </c>
      <c r="N86" s="91">
        <f t="shared" si="11"/>
        <v>5</v>
      </c>
      <c r="O86" s="91">
        <f aca="true" t="shared" si="12" ref="O86:O117">N86*I86</f>
        <v>169.87775440479143</v>
      </c>
      <c r="P86" s="91"/>
      <c r="Q86" s="402"/>
      <c r="T86" s="403"/>
      <c r="W86" s="407"/>
    </row>
    <row r="87" spans="1:23" s="398" customFormat="1" ht="24.75" customHeight="1">
      <c r="A87" s="348" t="s">
        <v>648</v>
      </c>
      <c r="B87" s="361" t="s">
        <v>295</v>
      </c>
      <c r="C87" s="349" t="s">
        <v>165</v>
      </c>
      <c r="D87" s="350" t="s">
        <v>166</v>
      </c>
      <c r="E87" s="348" t="s">
        <v>311</v>
      </c>
      <c r="F87" s="351">
        <v>4</v>
      </c>
      <c r="G87" s="365">
        <v>107.75</v>
      </c>
      <c r="H87" s="351">
        <f t="shared" si="8"/>
        <v>431</v>
      </c>
      <c r="I87" s="351">
        <f>(G87*J19)+G87</f>
        <v>133.65701377960042</v>
      </c>
      <c r="J87" s="352">
        <f t="shared" si="10"/>
        <v>534.6280551184017</v>
      </c>
      <c r="K87" s="395"/>
      <c r="L87" s="396">
        <v>4</v>
      </c>
      <c r="M87" s="396">
        <v>0</v>
      </c>
      <c r="N87" s="396">
        <f t="shared" si="11"/>
        <v>4</v>
      </c>
      <c r="O87" s="396">
        <f t="shared" si="12"/>
        <v>534.6280551184017</v>
      </c>
      <c r="P87" s="396"/>
      <c r="Q87" s="397"/>
      <c r="T87" s="397"/>
      <c r="W87" s="399"/>
    </row>
    <row r="88" spans="1:23" s="11" customFormat="1" ht="12.75">
      <c r="A88" s="366" t="s">
        <v>287</v>
      </c>
      <c r="B88" s="384"/>
      <c r="C88" s="384"/>
      <c r="D88" s="369" t="s">
        <v>310</v>
      </c>
      <c r="E88" s="367"/>
      <c r="F88" s="370">
        <v>0</v>
      </c>
      <c r="G88" s="371"/>
      <c r="H88" s="370"/>
      <c r="I88" s="370"/>
      <c r="J88" s="372">
        <f>SUM(J89:J96)</f>
        <v>6880.588643194464</v>
      </c>
      <c r="K88" s="404"/>
      <c r="L88" s="91"/>
      <c r="M88" s="94">
        <v>0</v>
      </c>
      <c r="N88" s="91">
        <f t="shared" si="11"/>
        <v>0</v>
      </c>
      <c r="O88" s="91">
        <f t="shared" si="12"/>
        <v>0</v>
      </c>
      <c r="P88" s="94"/>
      <c r="Q88" s="402">
        <f>J88</f>
        <v>6880.588643194464</v>
      </c>
      <c r="T88" s="403"/>
      <c r="W88" s="407"/>
    </row>
    <row r="89" spans="1:20" s="11" customFormat="1" ht="14.25" customHeight="1">
      <c r="A89" s="357" t="s">
        <v>445</v>
      </c>
      <c r="B89" s="357" t="s">
        <v>295</v>
      </c>
      <c r="C89" s="373">
        <v>6021</v>
      </c>
      <c r="D89" s="356" t="s">
        <v>609</v>
      </c>
      <c r="E89" s="357" t="s">
        <v>309</v>
      </c>
      <c r="F89" s="358">
        <v>9</v>
      </c>
      <c r="G89" s="374">
        <v>138.5</v>
      </c>
      <c r="H89" s="358">
        <f t="shared" si="8"/>
        <v>1246.5</v>
      </c>
      <c r="I89" s="358">
        <f>(G89*J19)+G89</f>
        <v>171.80043070510123</v>
      </c>
      <c r="J89" s="375">
        <f aca="true" t="shared" si="13" ref="J89:J102">F89*I89</f>
        <v>1546.203876345911</v>
      </c>
      <c r="K89" s="400"/>
      <c r="L89" s="91">
        <v>9</v>
      </c>
      <c r="M89" s="91">
        <v>0</v>
      </c>
      <c r="N89" s="91">
        <f t="shared" si="11"/>
        <v>9</v>
      </c>
      <c r="O89" s="91">
        <f t="shared" si="12"/>
        <v>1546.203876345911</v>
      </c>
      <c r="P89" s="91"/>
      <c r="Q89" s="402"/>
      <c r="T89" s="403"/>
    </row>
    <row r="90" spans="1:20" s="11" customFormat="1" ht="27" customHeight="1">
      <c r="A90" s="361" t="s">
        <v>446</v>
      </c>
      <c r="B90" s="361" t="s">
        <v>295</v>
      </c>
      <c r="C90" s="359" t="s">
        <v>243</v>
      </c>
      <c r="D90" s="360" t="s">
        <v>244</v>
      </c>
      <c r="E90" s="361" t="s">
        <v>309</v>
      </c>
      <c r="F90" s="362">
        <v>2</v>
      </c>
      <c r="G90" s="376">
        <v>243.57</v>
      </c>
      <c r="H90" s="362">
        <f t="shared" si="8"/>
        <v>487.14</v>
      </c>
      <c r="I90" s="362">
        <f>(G90*J19)+G90</f>
        <v>302.1330751396499</v>
      </c>
      <c r="J90" s="377">
        <f t="shared" si="13"/>
        <v>604.2661502792998</v>
      </c>
      <c r="K90" s="400"/>
      <c r="L90" s="91">
        <v>2</v>
      </c>
      <c r="M90" s="91">
        <v>0</v>
      </c>
      <c r="N90" s="91">
        <f t="shared" si="11"/>
        <v>2</v>
      </c>
      <c r="O90" s="91">
        <f t="shared" si="12"/>
        <v>604.2661502792998</v>
      </c>
      <c r="P90" s="91"/>
      <c r="Q90" s="402"/>
      <c r="T90" s="403"/>
    </row>
    <row r="91" spans="1:20" s="11" customFormat="1" ht="24" customHeight="1">
      <c r="A91" s="361" t="s">
        <v>447</v>
      </c>
      <c r="B91" s="361" t="s">
        <v>295</v>
      </c>
      <c r="C91" s="359" t="s">
        <v>241</v>
      </c>
      <c r="D91" s="360" t="s">
        <v>242</v>
      </c>
      <c r="E91" s="361" t="s">
        <v>309</v>
      </c>
      <c r="F91" s="362">
        <v>9</v>
      </c>
      <c r="G91" s="376">
        <v>226.86</v>
      </c>
      <c r="H91" s="362">
        <f t="shared" si="8"/>
        <v>2041.7400000000002</v>
      </c>
      <c r="I91" s="362">
        <f>(G91*J19)+G91</f>
        <v>281.4053841859875</v>
      </c>
      <c r="J91" s="377">
        <f t="shared" si="13"/>
        <v>2532.6484576738876</v>
      </c>
      <c r="K91" s="400"/>
      <c r="L91" s="91">
        <v>9</v>
      </c>
      <c r="M91" s="91">
        <v>0</v>
      </c>
      <c r="N91" s="91">
        <f t="shared" si="11"/>
        <v>9</v>
      </c>
      <c r="O91" s="91">
        <f t="shared" si="12"/>
        <v>2532.6484576738876</v>
      </c>
      <c r="P91" s="91"/>
      <c r="Q91" s="402"/>
      <c r="T91" s="403"/>
    </row>
    <row r="92" spans="1:20" s="11" customFormat="1" ht="15" customHeight="1">
      <c r="A92" s="361" t="s">
        <v>448</v>
      </c>
      <c r="B92" s="361" t="s">
        <v>295</v>
      </c>
      <c r="C92" s="359" t="s">
        <v>316</v>
      </c>
      <c r="D92" s="360" t="s">
        <v>317</v>
      </c>
      <c r="E92" s="361" t="s">
        <v>309</v>
      </c>
      <c r="F92" s="362">
        <v>9</v>
      </c>
      <c r="G92" s="376">
        <v>21.95</v>
      </c>
      <c r="H92" s="362">
        <f t="shared" si="8"/>
        <v>197.54999999999998</v>
      </c>
      <c r="I92" s="362">
        <f>(G92*J19)+G92</f>
        <v>27.22757728503229</v>
      </c>
      <c r="J92" s="377">
        <f t="shared" si="13"/>
        <v>245.0481955652906</v>
      </c>
      <c r="K92" s="400"/>
      <c r="L92" s="91">
        <v>9</v>
      </c>
      <c r="M92" s="91">
        <v>0</v>
      </c>
      <c r="N92" s="91">
        <f t="shared" si="11"/>
        <v>9</v>
      </c>
      <c r="O92" s="91">
        <f t="shared" si="12"/>
        <v>245.0481955652906</v>
      </c>
      <c r="P92" s="91"/>
      <c r="Q92" s="402"/>
      <c r="T92" s="403"/>
    </row>
    <row r="93" spans="1:20" s="11" customFormat="1" ht="15" customHeight="1">
      <c r="A93" s="361" t="s">
        <v>449</v>
      </c>
      <c r="B93" s="361" t="s">
        <v>295</v>
      </c>
      <c r="C93" s="359">
        <v>6004</v>
      </c>
      <c r="D93" s="360" t="s">
        <v>318</v>
      </c>
      <c r="E93" s="361" t="s">
        <v>309</v>
      </c>
      <c r="F93" s="362">
        <v>9</v>
      </c>
      <c r="G93" s="376">
        <v>37.24</v>
      </c>
      <c r="H93" s="362">
        <f t="shared" si="8"/>
        <v>335.16</v>
      </c>
      <c r="I93" s="362">
        <f>(G93*J19)+G93</f>
        <v>46.19384866034636</v>
      </c>
      <c r="J93" s="377">
        <f t="shared" si="13"/>
        <v>415.74463794311725</v>
      </c>
      <c r="K93" s="400"/>
      <c r="L93" s="91">
        <v>9</v>
      </c>
      <c r="M93" s="91">
        <v>0</v>
      </c>
      <c r="N93" s="91">
        <f t="shared" si="11"/>
        <v>9</v>
      </c>
      <c r="O93" s="91">
        <f t="shared" si="12"/>
        <v>415.74463794311725</v>
      </c>
      <c r="P93" s="91"/>
      <c r="Q93" s="402"/>
      <c r="T93" s="403"/>
    </row>
    <row r="94" spans="1:20" s="11" customFormat="1" ht="12.75">
      <c r="A94" s="361" t="s">
        <v>450</v>
      </c>
      <c r="B94" s="361" t="s">
        <v>295</v>
      </c>
      <c r="C94" s="359" t="s">
        <v>245</v>
      </c>
      <c r="D94" s="360" t="s">
        <v>158</v>
      </c>
      <c r="E94" s="361" t="s">
        <v>309</v>
      </c>
      <c r="F94" s="362">
        <v>4</v>
      </c>
      <c r="G94" s="376">
        <v>164.18</v>
      </c>
      <c r="H94" s="362">
        <f>F94*G94</f>
        <v>656.72</v>
      </c>
      <c r="I94" s="362">
        <f>(G94*J19)+G94</f>
        <v>203.65483547410486</v>
      </c>
      <c r="J94" s="377">
        <f>F94*I94</f>
        <v>814.6193418964194</v>
      </c>
      <c r="K94" s="400"/>
      <c r="L94" s="91">
        <v>4</v>
      </c>
      <c r="M94" s="91">
        <v>0</v>
      </c>
      <c r="N94" s="91">
        <f t="shared" si="11"/>
        <v>4</v>
      </c>
      <c r="O94" s="91">
        <f t="shared" si="12"/>
        <v>814.6193418964194</v>
      </c>
      <c r="P94" s="91"/>
      <c r="Q94" s="402"/>
      <c r="T94" s="403"/>
    </row>
    <row r="95" spans="1:20" s="11" customFormat="1" ht="15" customHeight="1">
      <c r="A95" s="361" t="s">
        <v>451</v>
      </c>
      <c r="B95" s="361" t="s">
        <v>295</v>
      </c>
      <c r="C95" s="359" t="s">
        <v>710</v>
      </c>
      <c r="D95" s="360" t="s">
        <v>240</v>
      </c>
      <c r="E95" s="361" t="s">
        <v>309</v>
      </c>
      <c r="F95" s="362">
        <v>2</v>
      </c>
      <c r="G95" s="376">
        <v>166.85</v>
      </c>
      <c r="H95" s="362">
        <f>F95*G95</f>
        <v>333.7</v>
      </c>
      <c r="I95" s="362">
        <f>(G95*J19)+G95</f>
        <v>206.96680045592882</v>
      </c>
      <c r="J95" s="377">
        <f>F95*I95</f>
        <v>413.93360091185764</v>
      </c>
      <c r="K95" s="400"/>
      <c r="L95" s="91">
        <v>2</v>
      </c>
      <c r="M95" s="91">
        <v>0</v>
      </c>
      <c r="N95" s="91">
        <f t="shared" si="11"/>
        <v>2</v>
      </c>
      <c r="O95" s="91">
        <f t="shared" si="12"/>
        <v>413.93360091185764</v>
      </c>
      <c r="P95" s="91"/>
      <c r="Q95" s="402"/>
      <c r="T95" s="403"/>
    </row>
    <row r="96" spans="1:20" s="11" customFormat="1" ht="15" customHeight="1">
      <c r="A96" s="348" t="s">
        <v>452</v>
      </c>
      <c r="B96" s="348" t="s">
        <v>295</v>
      </c>
      <c r="C96" s="349">
        <v>6008</v>
      </c>
      <c r="D96" s="350" t="s">
        <v>319</v>
      </c>
      <c r="E96" s="348" t="s">
        <v>309</v>
      </c>
      <c r="F96" s="351">
        <v>9</v>
      </c>
      <c r="G96" s="365">
        <v>27.6</v>
      </c>
      <c r="H96" s="351">
        <f t="shared" si="8"/>
        <v>248.4</v>
      </c>
      <c r="I96" s="351">
        <f>(G96*J19)+G96</f>
        <v>34.2360425087422</v>
      </c>
      <c r="J96" s="352">
        <f t="shared" si="13"/>
        <v>308.12438257867984</v>
      </c>
      <c r="K96" s="400"/>
      <c r="L96" s="91">
        <v>9</v>
      </c>
      <c r="M96" s="91">
        <v>0</v>
      </c>
      <c r="N96" s="91">
        <f t="shared" si="11"/>
        <v>9</v>
      </c>
      <c r="O96" s="91">
        <f t="shared" si="12"/>
        <v>308.12438257867984</v>
      </c>
      <c r="P96" s="91"/>
      <c r="Q96" s="402"/>
      <c r="T96" s="403"/>
    </row>
    <row r="97" spans="1:20" s="11" customFormat="1" ht="12.75">
      <c r="A97" s="366" t="s">
        <v>389</v>
      </c>
      <c r="B97" s="384"/>
      <c r="C97" s="384"/>
      <c r="D97" s="369" t="s">
        <v>493</v>
      </c>
      <c r="E97" s="367"/>
      <c r="F97" s="370">
        <v>0</v>
      </c>
      <c r="G97" s="371"/>
      <c r="H97" s="370"/>
      <c r="I97" s="370"/>
      <c r="J97" s="372">
        <f>J98</f>
        <v>795.045256722943</v>
      </c>
      <c r="K97" s="404"/>
      <c r="L97" s="91"/>
      <c r="M97" s="94">
        <v>0</v>
      </c>
      <c r="N97" s="91">
        <f t="shared" si="11"/>
        <v>0</v>
      </c>
      <c r="O97" s="91">
        <f t="shared" si="12"/>
        <v>0</v>
      </c>
      <c r="P97" s="94"/>
      <c r="Q97" s="402">
        <f>J97</f>
        <v>795.045256722943</v>
      </c>
      <c r="T97" s="403"/>
    </row>
    <row r="98" spans="1:20" s="11" customFormat="1" ht="39" customHeight="1">
      <c r="A98" s="367" t="s">
        <v>393</v>
      </c>
      <c r="B98" s="367" t="s">
        <v>295</v>
      </c>
      <c r="C98" s="368" t="s">
        <v>489</v>
      </c>
      <c r="D98" s="385" t="s">
        <v>490</v>
      </c>
      <c r="E98" s="367" t="s">
        <v>309</v>
      </c>
      <c r="F98" s="370">
        <v>1</v>
      </c>
      <c r="G98" s="386">
        <v>640.94</v>
      </c>
      <c r="H98" s="370">
        <f t="shared" si="8"/>
        <v>640.94</v>
      </c>
      <c r="I98" s="370">
        <f>(G98*J19)+G98</f>
        <v>795.045256722943</v>
      </c>
      <c r="J98" s="387">
        <f t="shared" si="13"/>
        <v>795.045256722943</v>
      </c>
      <c r="K98" s="400"/>
      <c r="L98" s="91">
        <v>1</v>
      </c>
      <c r="M98" s="91">
        <v>0</v>
      </c>
      <c r="N98" s="91">
        <f t="shared" si="11"/>
        <v>1</v>
      </c>
      <c r="O98" s="91">
        <f t="shared" si="12"/>
        <v>795.045256722943</v>
      </c>
      <c r="P98" s="91"/>
      <c r="Q98" s="402"/>
      <c r="T98" s="403"/>
    </row>
    <row r="99" spans="1:20" s="11" customFormat="1" ht="15" customHeight="1">
      <c r="A99" s="366" t="s">
        <v>390</v>
      </c>
      <c r="B99" s="384"/>
      <c r="C99" s="384"/>
      <c r="D99" s="369" t="s">
        <v>285</v>
      </c>
      <c r="E99" s="367"/>
      <c r="F99" s="370">
        <v>0</v>
      </c>
      <c r="G99" s="370"/>
      <c r="H99" s="370"/>
      <c r="I99" s="370"/>
      <c r="J99" s="372">
        <f>SUM(J100:J126)</f>
        <v>9074.348657048391</v>
      </c>
      <c r="K99" s="404"/>
      <c r="L99" s="91"/>
      <c r="M99" s="94">
        <v>0</v>
      </c>
      <c r="N99" s="91">
        <f t="shared" si="11"/>
        <v>0</v>
      </c>
      <c r="O99" s="91">
        <f t="shared" si="12"/>
        <v>0</v>
      </c>
      <c r="P99" s="94"/>
      <c r="Q99" s="402">
        <f>J99</f>
        <v>9074.348657048391</v>
      </c>
      <c r="T99" s="26"/>
    </row>
    <row r="100" spans="1:20" s="11" customFormat="1" ht="15" customHeight="1">
      <c r="A100" s="357" t="s">
        <v>394</v>
      </c>
      <c r="B100" s="357" t="s">
        <v>295</v>
      </c>
      <c r="C100" s="373">
        <v>73613</v>
      </c>
      <c r="D100" s="388" t="s">
        <v>573</v>
      </c>
      <c r="E100" s="357" t="s">
        <v>278</v>
      </c>
      <c r="F100" s="358">
        <v>110</v>
      </c>
      <c r="G100" s="358">
        <v>8.05</v>
      </c>
      <c r="H100" s="358">
        <f t="shared" si="8"/>
        <v>885.5000000000001</v>
      </c>
      <c r="I100" s="358">
        <f>(G100*J19)+G100</f>
        <v>9.985512398383142</v>
      </c>
      <c r="J100" s="375">
        <f t="shared" si="13"/>
        <v>1098.4063638221455</v>
      </c>
      <c r="K100" s="400"/>
      <c r="L100" s="91">
        <v>110</v>
      </c>
      <c r="M100" s="91">
        <v>0</v>
      </c>
      <c r="N100" s="91">
        <f t="shared" si="11"/>
        <v>110</v>
      </c>
      <c r="O100" s="91">
        <f t="shared" si="12"/>
        <v>1098.4063638221455</v>
      </c>
      <c r="P100" s="91"/>
      <c r="Q100" s="125"/>
      <c r="R100" s="47"/>
      <c r="S100" s="47"/>
      <c r="T100" s="26"/>
    </row>
    <row r="101" spans="1:20" s="11" customFormat="1" ht="15" customHeight="1">
      <c r="A101" s="361" t="s">
        <v>395</v>
      </c>
      <c r="B101" s="361" t="s">
        <v>295</v>
      </c>
      <c r="C101" s="359" t="s">
        <v>570</v>
      </c>
      <c r="D101" s="363" t="s">
        <v>572</v>
      </c>
      <c r="E101" s="361" t="s">
        <v>278</v>
      </c>
      <c r="F101" s="362">
        <v>32.2</v>
      </c>
      <c r="G101" s="362">
        <v>9.18</v>
      </c>
      <c r="H101" s="362">
        <f t="shared" si="8"/>
        <v>295.596</v>
      </c>
      <c r="I101" s="362">
        <f>(G101*J19)+G101</f>
        <v>11.387205443125122</v>
      </c>
      <c r="J101" s="377">
        <f t="shared" si="13"/>
        <v>366.66801526862895</v>
      </c>
      <c r="K101" s="400"/>
      <c r="L101" s="91">
        <v>32.2</v>
      </c>
      <c r="M101" s="91">
        <v>0</v>
      </c>
      <c r="N101" s="91">
        <f t="shared" si="11"/>
        <v>32.2</v>
      </c>
      <c r="O101" s="91">
        <f t="shared" si="12"/>
        <v>366.66801526862895</v>
      </c>
      <c r="P101" s="91"/>
      <c r="Q101" s="125"/>
      <c r="R101" s="47"/>
      <c r="S101" s="47"/>
      <c r="T101" s="26"/>
    </row>
    <row r="102" spans="1:20" s="11" customFormat="1" ht="15" customHeight="1">
      <c r="A102" s="361" t="s">
        <v>474</v>
      </c>
      <c r="B102" s="361" t="s">
        <v>295</v>
      </c>
      <c r="C102" s="359">
        <v>83407</v>
      </c>
      <c r="D102" s="363" t="s">
        <v>571</v>
      </c>
      <c r="E102" s="361" t="s">
        <v>278</v>
      </c>
      <c r="F102" s="362">
        <v>10.2</v>
      </c>
      <c r="G102" s="362">
        <v>13.7</v>
      </c>
      <c r="H102" s="362">
        <f t="shared" si="8"/>
        <v>139.73999999999998</v>
      </c>
      <c r="I102" s="362">
        <f>(G102*J19)+G102</f>
        <v>16.99397762209305</v>
      </c>
      <c r="J102" s="377">
        <f t="shared" si="13"/>
        <v>173.33857174534907</v>
      </c>
      <c r="K102" s="400"/>
      <c r="L102" s="91">
        <v>10.2</v>
      </c>
      <c r="M102" s="91">
        <v>0</v>
      </c>
      <c r="N102" s="91">
        <f t="shared" si="11"/>
        <v>10.2</v>
      </c>
      <c r="O102" s="91">
        <f t="shared" si="12"/>
        <v>173.33857174534907</v>
      </c>
      <c r="P102" s="91"/>
      <c r="Q102" s="125"/>
      <c r="R102" s="47"/>
      <c r="S102" s="47"/>
      <c r="T102" s="26"/>
    </row>
    <row r="103" spans="1:20" s="11" customFormat="1" ht="15" customHeight="1">
      <c r="A103" s="361" t="s">
        <v>475</v>
      </c>
      <c r="B103" s="361" t="s">
        <v>295</v>
      </c>
      <c r="C103" s="363">
        <v>55865</v>
      </c>
      <c r="D103" s="360" t="s">
        <v>577</v>
      </c>
      <c r="E103" s="361" t="s">
        <v>278</v>
      </c>
      <c r="F103" s="362">
        <v>20.1</v>
      </c>
      <c r="G103" s="362">
        <v>14.93</v>
      </c>
      <c r="H103" s="362">
        <f aca="true" t="shared" si="14" ref="H103:H126">F103*G103</f>
        <v>300.093</v>
      </c>
      <c r="I103" s="362">
        <f>(G103*J19)+G103</f>
        <v>18.51971429911308</v>
      </c>
      <c r="J103" s="377">
        <f aca="true" t="shared" si="15" ref="J103:J126">F103*I103</f>
        <v>372.24625741217295</v>
      </c>
      <c r="K103" s="400"/>
      <c r="L103" s="91">
        <v>20.1</v>
      </c>
      <c r="M103" s="91">
        <v>0</v>
      </c>
      <c r="N103" s="91">
        <f t="shared" si="11"/>
        <v>20.1</v>
      </c>
      <c r="O103" s="91">
        <f t="shared" si="12"/>
        <v>372.24625741217295</v>
      </c>
      <c r="P103" s="91"/>
      <c r="Q103" s="125"/>
      <c r="R103" s="47"/>
      <c r="S103" s="47"/>
      <c r="T103" s="26"/>
    </row>
    <row r="104" spans="1:20" s="11" customFormat="1" ht="15" customHeight="1">
      <c r="A104" s="361" t="s">
        <v>476</v>
      </c>
      <c r="B104" s="361" t="s">
        <v>295</v>
      </c>
      <c r="C104" s="363">
        <v>1870</v>
      </c>
      <c r="D104" s="363" t="s">
        <v>185</v>
      </c>
      <c r="E104" s="361" t="s">
        <v>309</v>
      </c>
      <c r="F104" s="362">
        <v>3</v>
      </c>
      <c r="G104" s="362">
        <v>1.5</v>
      </c>
      <c r="H104" s="362">
        <f t="shared" si="14"/>
        <v>4.5</v>
      </c>
      <c r="I104" s="362">
        <f>(G104*J19)+G104</f>
        <v>1.8606544841707717</v>
      </c>
      <c r="J104" s="377">
        <f t="shared" si="15"/>
        <v>5.581963452512316</v>
      </c>
      <c r="K104" s="400"/>
      <c r="L104" s="91">
        <v>3</v>
      </c>
      <c r="M104" s="91">
        <v>0</v>
      </c>
      <c r="N104" s="91">
        <f t="shared" si="11"/>
        <v>3</v>
      </c>
      <c r="O104" s="91">
        <f t="shared" si="12"/>
        <v>5.581963452512316</v>
      </c>
      <c r="P104" s="91"/>
      <c r="Q104" s="125"/>
      <c r="R104" s="47"/>
      <c r="S104" s="47"/>
      <c r="T104" s="26"/>
    </row>
    <row r="105" spans="1:20" s="11" customFormat="1" ht="12.75">
      <c r="A105" s="361" t="s">
        <v>477</v>
      </c>
      <c r="B105" s="361" t="s">
        <v>295</v>
      </c>
      <c r="C105" s="363">
        <v>83467</v>
      </c>
      <c r="D105" s="389" t="s">
        <v>186</v>
      </c>
      <c r="E105" s="361" t="s">
        <v>309</v>
      </c>
      <c r="F105" s="362">
        <v>1</v>
      </c>
      <c r="G105" s="362">
        <v>23.75</v>
      </c>
      <c r="H105" s="362">
        <f t="shared" si="14"/>
        <v>23.75</v>
      </c>
      <c r="I105" s="362">
        <f>(G105*J19)+G105</f>
        <v>29.460362666037216</v>
      </c>
      <c r="J105" s="377">
        <f t="shared" si="15"/>
        <v>29.460362666037216</v>
      </c>
      <c r="K105" s="400"/>
      <c r="L105" s="91">
        <v>1</v>
      </c>
      <c r="M105" s="91">
        <v>0</v>
      </c>
      <c r="N105" s="91">
        <f t="shared" si="11"/>
        <v>1</v>
      </c>
      <c r="O105" s="91">
        <f t="shared" si="12"/>
        <v>29.460362666037216</v>
      </c>
      <c r="P105" s="91"/>
      <c r="Q105" s="125"/>
      <c r="R105" s="47"/>
      <c r="S105" s="47"/>
      <c r="T105" s="26"/>
    </row>
    <row r="106" spans="1:20" s="11" customFormat="1" ht="12.75">
      <c r="A106" s="361" t="s">
        <v>478</v>
      </c>
      <c r="B106" s="361" t="s">
        <v>295</v>
      </c>
      <c r="C106" s="390">
        <v>85049</v>
      </c>
      <c r="D106" s="391" t="s">
        <v>154</v>
      </c>
      <c r="E106" s="361" t="s">
        <v>309</v>
      </c>
      <c r="F106" s="362">
        <v>1</v>
      </c>
      <c r="G106" s="362">
        <v>24.6</v>
      </c>
      <c r="H106" s="362">
        <f t="shared" si="14"/>
        <v>24.6</v>
      </c>
      <c r="I106" s="362">
        <f>(G106*J19)+G106</f>
        <v>30.514733540400655</v>
      </c>
      <c r="J106" s="377">
        <f t="shared" si="15"/>
        <v>30.514733540400655</v>
      </c>
      <c r="K106" s="400"/>
      <c r="L106" s="91">
        <v>1</v>
      </c>
      <c r="M106" s="91">
        <v>0</v>
      </c>
      <c r="N106" s="91">
        <f t="shared" si="11"/>
        <v>1</v>
      </c>
      <c r="O106" s="91">
        <f t="shared" si="12"/>
        <v>30.514733540400655</v>
      </c>
      <c r="P106" s="91"/>
      <c r="Q106" s="125"/>
      <c r="R106" s="47"/>
      <c r="S106" s="47"/>
      <c r="T106" s="26"/>
    </row>
    <row r="107" spans="1:20" s="11" customFormat="1" ht="12.75">
      <c r="A107" s="361" t="s">
        <v>479</v>
      </c>
      <c r="B107" s="361" t="s">
        <v>295</v>
      </c>
      <c r="C107" s="390">
        <v>72332</v>
      </c>
      <c r="D107" s="391" t="s">
        <v>187</v>
      </c>
      <c r="E107" s="361" t="s">
        <v>309</v>
      </c>
      <c r="F107" s="362">
        <v>3</v>
      </c>
      <c r="G107" s="362">
        <v>14.75</v>
      </c>
      <c r="H107" s="362">
        <f t="shared" si="14"/>
        <v>44.25</v>
      </c>
      <c r="I107" s="362">
        <f>(G107*J19)+G107</f>
        <v>18.29643576101259</v>
      </c>
      <c r="J107" s="377">
        <f t="shared" si="15"/>
        <v>54.889307283037766</v>
      </c>
      <c r="K107" s="400"/>
      <c r="L107" s="91">
        <v>3</v>
      </c>
      <c r="M107" s="91">
        <v>0</v>
      </c>
      <c r="N107" s="91">
        <f t="shared" si="11"/>
        <v>3</v>
      </c>
      <c r="O107" s="91">
        <f t="shared" si="12"/>
        <v>54.889307283037766</v>
      </c>
      <c r="P107" s="91"/>
      <c r="Q107" s="125"/>
      <c r="R107" s="47"/>
      <c r="S107" s="47"/>
      <c r="T107" s="26"/>
    </row>
    <row r="108" spans="1:20" s="11" customFormat="1" ht="15" customHeight="1">
      <c r="A108" s="361" t="s">
        <v>480</v>
      </c>
      <c r="B108" s="361" t="s">
        <v>295</v>
      </c>
      <c r="C108" s="390">
        <v>7555</v>
      </c>
      <c r="D108" s="392" t="s">
        <v>188</v>
      </c>
      <c r="E108" s="361" t="s">
        <v>309</v>
      </c>
      <c r="F108" s="362">
        <v>7</v>
      </c>
      <c r="G108" s="362">
        <v>5.48</v>
      </c>
      <c r="H108" s="362">
        <f t="shared" si="14"/>
        <v>38.36</v>
      </c>
      <c r="I108" s="362">
        <f>(G108*J19)+G108</f>
        <v>6.797591048837219</v>
      </c>
      <c r="J108" s="377">
        <f t="shared" si="15"/>
        <v>47.583137341860535</v>
      </c>
      <c r="K108" s="400"/>
      <c r="L108" s="91">
        <v>7</v>
      </c>
      <c r="M108" s="91">
        <v>0</v>
      </c>
      <c r="N108" s="91">
        <f t="shared" si="11"/>
        <v>7</v>
      </c>
      <c r="O108" s="91">
        <f t="shared" si="12"/>
        <v>47.583137341860535</v>
      </c>
      <c r="P108" s="91"/>
      <c r="Q108" s="125"/>
      <c r="R108" s="47"/>
      <c r="S108" s="47"/>
      <c r="T108" s="26"/>
    </row>
    <row r="109" spans="1:20" s="11" customFormat="1" ht="15" customHeight="1">
      <c r="A109" s="361" t="s">
        <v>481</v>
      </c>
      <c r="B109" s="361" t="s">
        <v>295</v>
      </c>
      <c r="C109" s="363">
        <v>12120</v>
      </c>
      <c r="D109" s="364" t="s">
        <v>189</v>
      </c>
      <c r="E109" s="361" t="s">
        <v>309</v>
      </c>
      <c r="F109" s="362">
        <v>15</v>
      </c>
      <c r="G109" s="362">
        <v>1</v>
      </c>
      <c r="H109" s="362">
        <f t="shared" si="14"/>
        <v>15</v>
      </c>
      <c r="I109" s="362">
        <f>(G109*J19)+G109</f>
        <v>1.2404363227805144</v>
      </c>
      <c r="J109" s="377">
        <f t="shared" si="15"/>
        <v>18.606544841707716</v>
      </c>
      <c r="K109" s="400"/>
      <c r="L109" s="91">
        <v>15</v>
      </c>
      <c r="M109" s="91">
        <v>0</v>
      </c>
      <c r="N109" s="91">
        <f t="shared" si="11"/>
        <v>15</v>
      </c>
      <c r="O109" s="91">
        <f t="shared" si="12"/>
        <v>18.606544841707716</v>
      </c>
      <c r="P109" s="91"/>
      <c r="Q109" s="125"/>
      <c r="R109" s="47"/>
      <c r="S109" s="47"/>
      <c r="T109" s="26"/>
    </row>
    <row r="110" spans="1:20" s="11" customFormat="1" ht="15" customHeight="1">
      <c r="A110" s="361" t="s">
        <v>482</v>
      </c>
      <c r="B110" s="361" t="s">
        <v>295</v>
      </c>
      <c r="C110" s="390">
        <v>20245</v>
      </c>
      <c r="D110" s="392" t="s">
        <v>190</v>
      </c>
      <c r="E110" s="361" t="s">
        <v>309</v>
      </c>
      <c r="F110" s="362">
        <v>4</v>
      </c>
      <c r="G110" s="362">
        <v>5.88</v>
      </c>
      <c r="H110" s="362">
        <f t="shared" si="14"/>
        <v>23.52</v>
      </c>
      <c r="I110" s="362">
        <f>(G110*J19)+G110</f>
        <v>7.293765577949425</v>
      </c>
      <c r="J110" s="377">
        <f t="shared" si="15"/>
        <v>29.1750623117977</v>
      </c>
      <c r="K110" s="400"/>
      <c r="L110" s="91">
        <v>4</v>
      </c>
      <c r="M110" s="91">
        <v>0</v>
      </c>
      <c r="N110" s="91">
        <f t="shared" si="11"/>
        <v>4</v>
      </c>
      <c r="O110" s="91">
        <f t="shared" si="12"/>
        <v>29.1750623117977</v>
      </c>
      <c r="P110" s="91"/>
      <c r="Q110" s="125"/>
      <c r="R110" s="47"/>
      <c r="S110" s="47"/>
      <c r="T110" s="26"/>
    </row>
    <row r="111" spans="1:20" s="11" customFormat="1" ht="15" customHeight="1">
      <c r="A111" s="361" t="s">
        <v>483</v>
      </c>
      <c r="B111" s="361" t="s">
        <v>295</v>
      </c>
      <c r="C111" s="390">
        <v>72337</v>
      </c>
      <c r="D111" s="392" t="s">
        <v>191</v>
      </c>
      <c r="E111" s="361" t="s">
        <v>309</v>
      </c>
      <c r="F111" s="362">
        <v>2</v>
      </c>
      <c r="G111" s="362">
        <v>14.41</v>
      </c>
      <c r="H111" s="362">
        <f t="shared" si="14"/>
        <v>28.82</v>
      </c>
      <c r="I111" s="362">
        <f>(G111*J19)+G111</f>
        <v>17.874687411267214</v>
      </c>
      <c r="J111" s="377">
        <f t="shared" si="15"/>
        <v>35.74937482253443</v>
      </c>
      <c r="K111" s="400"/>
      <c r="L111" s="91">
        <v>2</v>
      </c>
      <c r="M111" s="91">
        <v>0</v>
      </c>
      <c r="N111" s="91">
        <f t="shared" si="11"/>
        <v>2</v>
      </c>
      <c r="O111" s="91">
        <f t="shared" si="12"/>
        <v>35.74937482253443</v>
      </c>
      <c r="P111" s="91"/>
      <c r="Q111" s="125"/>
      <c r="R111" s="47"/>
      <c r="S111" s="47"/>
      <c r="T111" s="26"/>
    </row>
    <row r="112" spans="1:20" s="11" customFormat="1" ht="12.75">
      <c r="A112" s="361" t="s">
        <v>484</v>
      </c>
      <c r="B112" s="361" t="s">
        <v>295</v>
      </c>
      <c r="C112" s="390">
        <v>7528</v>
      </c>
      <c r="D112" s="391" t="s">
        <v>192</v>
      </c>
      <c r="E112" s="361" t="s">
        <v>309</v>
      </c>
      <c r="F112" s="362">
        <v>9</v>
      </c>
      <c r="G112" s="362">
        <v>9.9</v>
      </c>
      <c r="H112" s="362">
        <f t="shared" si="14"/>
        <v>89.10000000000001</v>
      </c>
      <c r="I112" s="362">
        <f>(G112*J19)+G112</f>
        <v>12.280319595527093</v>
      </c>
      <c r="J112" s="377">
        <f t="shared" si="15"/>
        <v>110.52287635974383</v>
      </c>
      <c r="K112" s="400"/>
      <c r="L112" s="91">
        <v>9</v>
      </c>
      <c r="M112" s="91">
        <v>0</v>
      </c>
      <c r="N112" s="91">
        <f t="shared" si="11"/>
        <v>9</v>
      </c>
      <c r="O112" s="91">
        <f t="shared" si="12"/>
        <v>110.52287635974383</v>
      </c>
      <c r="P112" s="91"/>
      <c r="Q112" s="125"/>
      <c r="R112" s="47"/>
      <c r="S112" s="47"/>
      <c r="T112" s="26"/>
    </row>
    <row r="113" spans="1:20" s="11" customFormat="1" ht="15" customHeight="1">
      <c r="A113" s="361" t="s">
        <v>218</v>
      </c>
      <c r="B113" s="361" t="s">
        <v>295</v>
      </c>
      <c r="C113" s="390">
        <v>7533</v>
      </c>
      <c r="D113" s="392" t="s">
        <v>193</v>
      </c>
      <c r="E113" s="361" t="s">
        <v>309</v>
      </c>
      <c r="F113" s="362">
        <v>6</v>
      </c>
      <c r="G113" s="362">
        <v>4</v>
      </c>
      <c r="H113" s="362">
        <f t="shared" si="14"/>
        <v>24</v>
      </c>
      <c r="I113" s="362">
        <f>(G113*J19)+G113</f>
        <v>4.961745291122058</v>
      </c>
      <c r="J113" s="377">
        <f t="shared" si="15"/>
        <v>29.770471746732348</v>
      </c>
      <c r="K113" s="400"/>
      <c r="L113" s="91">
        <v>6</v>
      </c>
      <c r="M113" s="91">
        <v>0</v>
      </c>
      <c r="N113" s="91">
        <f t="shared" si="11"/>
        <v>6</v>
      </c>
      <c r="O113" s="91">
        <f t="shared" si="12"/>
        <v>29.770471746732348</v>
      </c>
      <c r="P113" s="91"/>
      <c r="Q113" s="125"/>
      <c r="R113" s="47"/>
      <c r="S113" s="47"/>
      <c r="T113" s="26"/>
    </row>
    <row r="114" spans="1:20" s="11" customFormat="1" ht="15" customHeight="1">
      <c r="A114" s="361" t="s">
        <v>485</v>
      </c>
      <c r="B114" s="361" t="s">
        <v>295</v>
      </c>
      <c r="C114" s="363">
        <v>83442</v>
      </c>
      <c r="D114" s="364" t="s">
        <v>194</v>
      </c>
      <c r="E114" s="361" t="s">
        <v>309</v>
      </c>
      <c r="F114" s="362">
        <v>38</v>
      </c>
      <c r="G114" s="362">
        <v>4.61</v>
      </c>
      <c r="H114" s="362">
        <f t="shared" si="14"/>
        <v>175.18</v>
      </c>
      <c r="I114" s="362">
        <f>(G114*J19)+G114</f>
        <v>5.718411448018172</v>
      </c>
      <c r="J114" s="377">
        <f t="shared" si="15"/>
        <v>217.29963502469053</v>
      </c>
      <c r="K114" s="400"/>
      <c r="L114" s="91">
        <v>38</v>
      </c>
      <c r="M114" s="91">
        <v>0</v>
      </c>
      <c r="N114" s="91">
        <f t="shared" si="11"/>
        <v>38</v>
      </c>
      <c r="O114" s="91">
        <f t="shared" si="12"/>
        <v>217.29963502469053</v>
      </c>
      <c r="P114" s="91"/>
      <c r="Q114" s="125"/>
      <c r="R114" s="47"/>
      <c r="S114" s="47"/>
      <c r="T114" s="26"/>
    </row>
    <row r="115" spans="1:20" s="11" customFormat="1" ht="15" customHeight="1">
      <c r="A115" s="361" t="s">
        <v>486</v>
      </c>
      <c r="B115" s="361" t="s">
        <v>295</v>
      </c>
      <c r="C115" s="390">
        <v>1872</v>
      </c>
      <c r="D115" s="392" t="s">
        <v>195</v>
      </c>
      <c r="E115" s="361" t="s">
        <v>309</v>
      </c>
      <c r="F115" s="362">
        <v>30</v>
      </c>
      <c r="G115" s="362">
        <v>1.95</v>
      </c>
      <c r="H115" s="362">
        <f t="shared" si="14"/>
        <v>58.5</v>
      </c>
      <c r="I115" s="362">
        <f>(G115*J19)+G115</f>
        <v>2.418850829422003</v>
      </c>
      <c r="J115" s="377">
        <f t="shared" si="15"/>
        <v>72.56552488266009</v>
      </c>
      <c r="K115" s="400"/>
      <c r="L115" s="91">
        <v>30</v>
      </c>
      <c r="M115" s="91">
        <v>0</v>
      </c>
      <c r="N115" s="91">
        <f t="shared" si="11"/>
        <v>30</v>
      </c>
      <c r="O115" s="91">
        <f t="shared" si="12"/>
        <v>72.56552488266009</v>
      </c>
      <c r="P115" s="91"/>
      <c r="Q115" s="125"/>
      <c r="R115" s="47"/>
      <c r="S115" s="47"/>
      <c r="T115" s="26"/>
    </row>
    <row r="116" spans="1:20" s="11" customFormat="1" ht="13.5" customHeight="1">
      <c r="A116" s="361" t="s">
        <v>487</v>
      </c>
      <c r="B116" s="361" t="s">
        <v>295</v>
      </c>
      <c r="C116" s="390">
        <v>1873</v>
      </c>
      <c r="D116" s="392" t="s">
        <v>196</v>
      </c>
      <c r="E116" s="361" t="s">
        <v>309</v>
      </c>
      <c r="F116" s="362">
        <v>15</v>
      </c>
      <c r="G116" s="362">
        <v>3.1</v>
      </c>
      <c r="H116" s="362">
        <f t="shared" si="14"/>
        <v>46.5</v>
      </c>
      <c r="I116" s="362">
        <f>(G116*J19)+G116</f>
        <v>3.845352600619595</v>
      </c>
      <c r="J116" s="377">
        <f t="shared" si="15"/>
        <v>57.68028900929393</v>
      </c>
      <c r="K116" s="400"/>
      <c r="L116" s="91">
        <v>15</v>
      </c>
      <c r="M116" s="91">
        <v>0</v>
      </c>
      <c r="N116" s="91">
        <f t="shared" si="11"/>
        <v>15</v>
      </c>
      <c r="O116" s="91">
        <f t="shared" si="12"/>
        <v>57.68028900929393</v>
      </c>
      <c r="P116" s="91"/>
      <c r="Q116" s="125"/>
      <c r="R116" s="47"/>
      <c r="S116" s="47"/>
      <c r="T116" s="26"/>
    </row>
    <row r="117" spans="1:20" s="11" customFormat="1" ht="12.75">
      <c r="A117" s="361" t="s">
        <v>488</v>
      </c>
      <c r="B117" s="361" t="s">
        <v>295</v>
      </c>
      <c r="C117" s="424" t="s">
        <v>217</v>
      </c>
      <c r="D117" s="391" t="s">
        <v>155</v>
      </c>
      <c r="E117" s="361" t="s">
        <v>309</v>
      </c>
      <c r="F117" s="362">
        <v>9</v>
      </c>
      <c r="G117" s="362">
        <v>40.42</v>
      </c>
      <c r="H117" s="362">
        <f t="shared" si="14"/>
        <v>363.78000000000003</v>
      </c>
      <c r="I117" s="362">
        <f>(G117*J19)+G117</f>
        <v>50.138436166788395</v>
      </c>
      <c r="J117" s="377">
        <f t="shared" si="15"/>
        <v>451.24592550109554</v>
      </c>
      <c r="K117" s="400"/>
      <c r="L117" s="91">
        <v>9</v>
      </c>
      <c r="M117" s="91">
        <v>0</v>
      </c>
      <c r="N117" s="91">
        <f t="shared" si="11"/>
        <v>9</v>
      </c>
      <c r="O117" s="91">
        <f t="shared" si="12"/>
        <v>451.24592550109554</v>
      </c>
      <c r="P117" s="91"/>
      <c r="Q117" s="125"/>
      <c r="R117" s="47"/>
      <c r="S117" s="47"/>
      <c r="T117" s="26"/>
    </row>
    <row r="118" spans="1:20" s="11" customFormat="1" ht="12.75">
      <c r="A118" s="361" t="s">
        <v>210</v>
      </c>
      <c r="B118" s="361" t="s">
        <v>295</v>
      </c>
      <c r="C118" s="424" t="s">
        <v>219</v>
      </c>
      <c r="D118" s="391" t="s">
        <v>156</v>
      </c>
      <c r="E118" s="361" t="s">
        <v>309</v>
      </c>
      <c r="F118" s="362">
        <v>1</v>
      </c>
      <c r="G118" s="362">
        <v>69.38</v>
      </c>
      <c r="H118" s="362">
        <f t="shared" si="14"/>
        <v>69.38</v>
      </c>
      <c r="I118" s="362">
        <f>(G118*J19)+G118</f>
        <v>86.06147207451208</v>
      </c>
      <c r="J118" s="377">
        <f t="shared" si="15"/>
        <v>86.06147207451208</v>
      </c>
      <c r="K118" s="400"/>
      <c r="L118" s="91">
        <v>1</v>
      </c>
      <c r="M118" s="91">
        <v>0</v>
      </c>
      <c r="N118" s="91">
        <f t="shared" si="11"/>
        <v>1</v>
      </c>
      <c r="O118" s="91">
        <f aca="true" t="shared" si="16" ref="O118:O141">N118*I118</f>
        <v>86.06147207451208</v>
      </c>
      <c r="P118" s="91"/>
      <c r="Q118" s="125"/>
      <c r="R118" s="47"/>
      <c r="S118" s="47"/>
      <c r="T118" s="26"/>
    </row>
    <row r="119" spans="1:20" s="11" customFormat="1" ht="33.75">
      <c r="A119" s="361" t="s">
        <v>211</v>
      </c>
      <c r="B119" s="361" t="s">
        <v>295</v>
      </c>
      <c r="C119" s="424" t="s">
        <v>197</v>
      </c>
      <c r="D119" s="391" t="s">
        <v>198</v>
      </c>
      <c r="E119" s="361" t="s">
        <v>309</v>
      </c>
      <c r="F119" s="362">
        <v>2</v>
      </c>
      <c r="G119" s="362">
        <v>196.13</v>
      </c>
      <c r="H119" s="362">
        <f t="shared" si="14"/>
        <v>392.26</v>
      </c>
      <c r="I119" s="362">
        <f>(G119*J19)+G119</f>
        <v>243.2867759869423</v>
      </c>
      <c r="J119" s="377">
        <f t="shared" si="15"/>
        <v>486.5735519738846</v>
      </c>
      <c r="K119" s="400"/>
      <c r="L119" s="91">
        <v>2</v>
      </c>
      <c r="M119" s="91">
        <v>0</v>
      </c>
      <c r="N119" s="91">
        <f t="shared" si="11"/>
        <v>2</v>
      </c>
      <c r="O119" s="91">
        <f t="shared" si="16"/>
        <v>486.5735519738846</v>
      </c>
      <c r="P119" s="91"/>
      <c r="Q119" s="125"/>
      <c r="R119" s="47"/>
      <c r="S119" s="47"/>
      <c r="T119" s="26"/>
    </row>
    <row r="120" spans="1:20" s="11" customFormat="1" ht="12.75">
      <c r="A120" s="361" t="s">
        <v>212</v>
      </c>
      <c r="B120" s="361" t="s">
        <v>295</v>
      </c>
      <c r="C120" s="424" t="s">
        <v>473</v>
      </c>
      <c r="D120" s="391" t="s">
        <v>157</v>
      </c>
      <c r="E120" s="361" t="s">
        <v>309</v>
      </c>
      <c r="F120" s="362">
        <v>16</v>
      </c>
      <c r="G120" s="362">
        <v>62.08</v>
      </c>
      <c r="H120" s="362">
        <f t="shared" si="14"/>
        <v>993.28</v>
      </c>
      <c r="I120" s="362">
        <f>(G120*J19)+G120</f>
        <v>77.00628691821433</v>
      </c>
      <c r="J120" s="377">
        <f t="shared" si="15"/>
        <v>1232.1005906914293</v>
      </c>
      <c r="K120" s="400"/>
      <c r="L120" s="91">
        <v>16</v>
      </c>
      <c r="M120" s="91">
        <v>0</v>
      </c>
      <c r="N120" s="91">
        <f t="shared" si="11"/>
        <v>16</v>
      </c>
      <c r="O120" s="91">
        <f t="shared" si="16"/>
        <v>1232.1005906914293</v>
      </c>
      <c r="P120" s="91"/>
      <c r="Q120" s="125"/>
      <c r="R120" s="47"/>
      <c r="S120" s="47"/>
      <c r="T120" s="26"/>
    </row>
    <row r="121" spans="1:20" s="11" customFormat="1" ht="15" customHeight="1">
      <c r="A121" s="361" t="s">
        <v>213</v>
      </c>
      <c r="B121" s="361" t="s">
        <v>295</v>
      </c>
      <c r="C121" s="359" t="s">
        <v>702</v>
      </c>
      <c r="D121" s="364" t="s">
        <v>200</v>
      </c>
      <c r="E121" s="361" t="s">
        <v>278</v>
      </c>
      <c r="F121" s="362">
        <v>330</v>
      </c>
      <c r="G121" s="362">
        <v>2.82</v>
      </c>
      <c r="H121" s="362">
        <f t="shared" si="14"/>
        <v>930.5999999999999</v>
      </c>
      <c r="I121" s="362">
        <f>(G121*J19)+G121</f>
        <v>3.4980304302410503</v>
      </c>
      <c r="J121" s="377">
        <f t="shared" si="15"/>
        <v>1154.3500419795466</v>
      </c>
      <c r="K121" s="400"/>
      <c r="L121" s="91">
        <v>330</v>
      </c>
      <c r="M121" s="91">
        <v>0</v>
      </c>
      <c r="N121" s="91">
        <f t="shared" si="11"/>
        <v>330</v>
      </c>
      <c r="O121" s="91">
        <f t="shared" si="16"/>
        <v>1154.3500419795466</v>
      </c>
      <c r="P121" s="91"/>
      <c r="Q121" s="125"/>
      <c r="R121" s="47"/>
      <c r="S121" s="47"/>
      <c r="T121" s="26"/>
    </row>
    <row r="122" spans="1:20" s="11" customFormat="1" ht="15" customHeight="1">
      <c r="A122" s="361" t="s">
        <v>214</v>
      </c>
      <c r="B122" s="361" t="s">
        <v>295</v>
      </c>
      <c r="C122" s="359" t="s">
        <v>703</v>
      </c>
      <c r="D122" s="392" t="s">
        <v>202</v>
      </c>
      <c r="E122" s="423" t="s">
        <v>278</v>
      </c>
      <c r="F122" s="362">
        <v>330</v>
      </c>
      <c r="G122" s="362">
        <v>1.92</v>
      </c>
      <c r="H122" s="362">
        <f t="shared" si="14"/>
        <v>633.6</v>
      </c>
      <c r="I122" s="362">
        <f>(G122*J19)+G122</f>
        <v>2.3816377397385877</v>
      </c>
      <c r="J122" s="377">
        <f t="shared" si="15"/>
        <v>785.940454113734</v>
      </c>
      <c r="K122" s="400"/>
      <c r="L122" s="91">
        <v>330</v>
      </c>
      <c r="M122" s="91">
        <v>0</v>
      </c>
      <c r="N122" s="91">
        <f t="shared" si="11"/>
        <v>330</v>
      </c>
      <c r="O122" s="91">
        <f t="shared" si="16"/>
        <v>785.940454113734</v>
      </c>
      <c r="P122" s="91"/>
      <c r="Q122" s="125"/>
      <c r="R122" s="47"/>
      <c r="S122" s="47"/>
      <c r="T122" s="26"/>
    </row>
    <row r="123" spans="1:20" s="11" customFormat="1" ht="15" customHeight="1">
      <c r="A123" s="361" t="s">
        <v>215</v>
      </c>
      <c r="B123" s="361" t="s">
        <v>295</v>
      </c>
      <c r="C123" s="359" t="s">
        <v>203</v>
      </c>
      <c r="D123" s="364" t="s">
        <v>204</v>
      </c>
      <c r="E123" s="361" t="s">
        <v>278</v>
      </c>
      <c r="F123" s="362">
        <v>40</v>
      </c>
      <c r="G123" s="362">
        <v>1.92</v>
      </c>
      <c r="H123" s="362">
        <f t="shared" si="14"/>
        <v>76.8</v>
      </c>
      <c r="I123" s="362">
        <f>(G123*J19)+G123</f>
        <v>2.3816377397385877</v>
      </c>
      <c r="J123" s="377">
        <f t="shared" si="15"/>
        <v>95.26550958954351</v>
      </c>
      <c r="K123" s="400"/>
      <c r="L123" s="91">
        <v>40</v>
      </c>
      <c r="M123" s="91">
        <v>0</v>
      </c>
      <c r="N123" s="91">
        <f t="shared" si="11"/>
        <v>40</v>
      </c>
      <c r="O123" s="91">
        <f t="shared" si="16"/>
        <v>95.26550958954351</v>
      </c>
      <c r="P123" s="91"/>
      <c r="Q123" s="125"/>
      <c r="R123" s="47"/>
      <c r="S123" s="47"/>
      <c r="T123" s="26"/>
    </row>
    <row r="124" spans="1:20" s="11" customFormat="1" ht="12.75">
      <c r="A124" s="361" t="s">
        <v>216</v>
      </c>
      <c r="B124" s="361" t="s">
        <v>295</v>
      </c>
      <c r="C124" s="364">
        <v>72254</v>
      </c>
      <c r="D124" s="392" t="s">
        <v>205</v>
      </c>
      <c r="E124" s="423" t="s">
        <v>278</v>
      </c>
      <c r="F124" s="376">
        <v>40</v>
      </c>
      <c r="G124" s="362">
        <v>20.85</v>
      </c>
      <c r="H124" s="362">
        <f t="shared" si="14"/>
        <v>834</v>
      </c>
      <c r="I124" s="362">
        <f>(G124*J19)+G124</f>
        <v>25.863097329973726</v>
      </c>
      <c r="J124" s="377">
        <f t="shared" si="15"/>
        <v>1034.523893198949</v>
      </c>
      <c r="K124" s="400"/>
      <c r="L124" s="418">
        <v>40</v>
      </c>
      <c r="M124" s="91">
        <v>0</v>
      </c>
      <c r="N124" s="91">
        <f t="shared" si="11"/>
        <v>40</v>
      </c>
      <c r="O124" s="91">
        <f t="shared" si="16"/>
        <v>1034.523893198949</v>
      </c>
      <c r="P124" s="91"/>
      <c r="Q124" s="125"/>
      <c r="R124" s="47"/>
      <c r="S124" s="47"/>
      <c r="T124" s="26"/>
    </row>
    <row r="125" spans="1:20" s="11" customFormat="1" ht="22.5">
      <c r="A125" s="361" t="s">
        <v>575</v>
      </c>
      <c r="B125" s="361" t="s">
        <v>295</v>
      </c>
      <c r="C125" s="419" t="s">
        <v>206</v>
      </c>
      <c r="D125" s="391" t="s">
        <v>207</v>
      </c>
      <c r="E125" s="361" t="s">
        <v>309</v>
      </c>
      <c r="F125" s="420">
        <v>14</v>
      </c>
      <c r="G125" s="421">
        <v>45.16</v>
      </c>
      <c r="H125" s="362">
        <f t="shared" si="14"/>
        <v>632.24</v>
      </c>
      <c r="I125" s="362">
        <f>(G125*J19)+G125</f>
        <v>56.018104336768026</v>
      </c>
      <c r="J125" s="377">
        <f t="shared" si="15"/>
        <v>784.2534607147524</v>
      </c>
      <c r="K125" s="400"/>
      <c r="L125" s="422">
        <v>14</v>
      </c>
      <c r="M125" s="91">
        <v>0</v>
      </c>
      <c r="N125" s="91">
        <f t="shared" si="11"/>
        <v>14</v>
      </c>
      <c r="O125" s="91">
        <f t="shared" si="16"/>
        <v>784.2534607147524</v>
      </c>
      <c r="P125" s="91"/>
      <c r="Q125" s="125"/>
      <c r="R125" s="47"/>
      <c r="S125" s="47"/>
      <c r="T125" s="26"/>
    </row>
    <row r="126" spans="1:20" s="11" customFormat="1" ht="12.75">
      <c r="A126" s="411" t="s">
        <v>576</v>
      </c>
      <c r="B126" s="411" t="s">
        <v>295</v>
      </c>
      <c r="C126" s="412" t="s">
        <v>208</v>
      </c>
      <c r="D126" s="413" t="s">
        <v>209</v>
      </c>
      <c r="E126" s="411" t="s">
        <v>309</v>
      </c>
      <c r="F126" s="414">
        <v>10</v>
      </c>
      <c r="G126" s="415">
        <v>17.25</v>
      </c>
      <c r="H126" s="416">
        <f t="shared" si="14"/>
        <v>172.5</v>
      </c>
      <c r="I126" s="416">
        <f>(G126*J19)+G126</f>
        <v>21.397526567963872</v>
      </c>
      <c r="J126" s="417">
        <f t="shared" si="15"/>
        <v>213.9752656796387</v>
      </c>
      <c r="K126" s="400"/>
      <c r="L126" s="418">
        <v>10</v>
      </c>
      <c r="M126" s="91">
        <v>0</v>
      </c>
      <c r="N126" s="91">
        <f t="shared" si="11"/>
        <v>10</v>
      </c>
      <c r="O126" s="91">
        <f t="shared" si="16"/>
        <v>213.9752656796387</v>
      </c>
      <c r="P126" s="91"/>
      <c r="Q126" s="125"/>
      <c r="R126" s="47"/>
      <c r="S126" s="47"/>
      <c r="T126" s="26"/>
    </row>
    <row r="127" spans="1:20" s="11" customFormat="1" ht="12.75">
      <c r="A127" s="366" t="s">
        <v>391</v>
      </c>
      <c r="B127" s="384"/>
      <c r="C127" s="384"/>
      <c r="D127" s="369" t="s">
        <v>382</v>
      </c>
      <c r="E127" s="367"/>
      <c r="F127" s="370">
        <v>0</v>
      </c>
      <c r="G127" s="370"/>
      <c r="H127" s="370"/>
      <c r="I127" s="370"/>
      <c r="J127" s="372">
        <f>SUM(J128:J141)</f>
        <v>27769.334301358802</v>
      </c>
      <c r="K127" s="404"/>
      <c r="L127" s="91"/>
      <c r="M127" s="94">
        <v>0</v>
      </c>
      <c r="N127" s="91">
        <f t="shared" si="11"/>
        <v>0</v>
      </c>
      <c r="O127" s="91">
        <f t="shared" si="16"/>
        <v>0</v>
      </c>
      <c r="P127" s="94"/>
      <c r="Q127" s="402">
        <f>J127</f>
        <v>27769.334301358802</v>
      </c>
      <c r="T127" s="409"/>
    </row>
    <row r="128" spans="1:20" s="11" customFormat="1" ht="12.75">
      <c r="A128" s="357" t="s">
        <v>398</v>
      </c>
      <c r="B128" s="357" t="s">
        <v>295</v>
      </c>
      <c r="C128" s="373">
        <v>9537</v>
      </c>
      <c r="D128" s="356" t="s">
        <v>337</v>
      </c>
      <c r="E128" s="357" t="s">
        <v>276</v>
      </c>
      <c r="F128" s="358">
        <v>461.21</v>
      </c>
      <c r="G128" s="374">
        <v>1.24</v>
      </c>
      <c r="H128" s="358">
        <f aca="true" t="shared" si="17" ref="H128:H141">F128*G128</f>
        <v>571.9004</v>
      </c>
      <c r="I128" s="358">
        <f>(G128*J19)+G128</f>
        <v>1.538141040247838</v>
      </c>
      <c r="J128" s="375">
        <f aca="true" t="shared" si="18" ref="J128:J141">F128*I128</f>
        <v>709.4060291727053</v>
      </c>
      <c r="K128" s="400"/>
      <c r="L128" s="91">
        <v>461.21</v>
      </c>
      <c r="M128" s="91">
        <v>0</v>
      </c>
      <c r="N128" s="91">
        <f t="shared" si="11"/>
        <v>461.21</v>
      </c>
      <c r="O128" s="91">
        <f t="shared" si="16"/>
        <v>709.4060291727053</v>
      </c>
      <c r="P128" s="91"/>
      <c r="Q128" s="408"/>
      <c r="R128" s="45"/>
      <c r="T128" s="410"/>
    </row>
    <row r="129" spans="1:20" s="11" customFormat="1" ht="12.75">
      <c r="A129" s="361" t="s">
        <v>455</v>
      </c>
      <c r="B129" s="361" t="s">
        <v>295</v>
      </c>
      <c r="C129" s="359" t="s">
        <v>712</v>
      </c>
      <c r="D129" s="360" t="s">
        <v>253</v>
      </c>
      <c r="E129" s="361" t="s">
        <v>276</v>
      </c>
      <c r="F129" s="362">
        <v>56.02</v>
      </c>
      <c r="G129" s="362">
        <v>10.18</v>
      </c>
      <c r="H129" s="362">
        <f t="shared" si="17"/>
        <v>570.2836</v>
      </c>
      <c r="I129" s="362">
        <f>(G129*J19)+G129</f>
        <v>12.627641765905636</v>
      </c>
      <c r="J129" s="377">
        <f t="shared" si="18"/>
        <v>707.4004917260338</v>
      </c>
      <c r="K129" s="400"/>
      <c r="L129" s="91">
        <v>56.02</v>
      </c>
      <c r="M129" s="91">
        <v>0</v>
      </c>
      <c r="N129" s="91">
        <f t="shared" si="11"/>
        <v>56.02</v>
      </c>
      <c r="O129" s="91">
        <f t="shared" si="16"/>
        <v>707.4004917260338</v>
      </c>
      <c r="P129" s="91"/>
      <c r="Q129" s="408"/>
      <c r="T129" s="409"/>
    </row>
    <row r="130" spans="1:20" s="11" customFormat="1" ht="12.75">
      <c r="A130" s="361" t="s">
        <v>634</v>
      </c>
      <c r="B130" s="361"/>
      <c r="C130" s="361" t="s">
        <v>597</v>
      </c>
      <c r="D130" s="360" t="s">
        <v>611</v>
      </c>
      <c r="E130" s="361" t="s">
        <v>276</v>
      </c>
      <c r="F130" s="362">
        <v>27.45</v>
      </c>
      <c r="G130" s="362">
        <v>92.25</v>
      </c>
      <c r="H130" s="362">
        <f t="shared" si="17"/>
        <v>2532.2625</v>
      </c>
      <c r="I130" s="362">
        <f>(G130*J19)+G130</f>
        <v>114.43025077650245</v>
      </c>
      <c r="J130" s="377">
        <f t="shared" si="18"/>
        <v>3141.110383814992</v>
      </c>
      <c r="K130" s="400"/>
      <c r="L130" s="91">
        <v>27.45</v>
      </c>
      <c r="M130" s="91">
        <v>0</v>
      </c>
      <c r="N130" s="91">
        <f t="shared" si="11"/>
        <v>27.45</v>
      </c>
      <c r="O130" s="91">
        <f t="shared" si="16"/>
        <v>3141.110383814992</v>
      </c>
      <c r="P130" s="91"/>
      <c r="Q130" s="408"/>
      <c r="T130" s="409"/>
    </row>
    <row r="131" spans="1:20" s="11" customFormat="1" ht="12.75">
      <c r="A131" s="361" t="s">
        <v>251</v>
      </c>
      <c r="B131" s="361"/>
      <c r="C131" s="361" t="s">
        <v>597</v>
      </c>
      <c r="D131" s="360" t="s">
        <v>627</v>
      </c>
      <c r="E131" s="361" t="s">
        <v>278</v>
      </c>
      <c r="F131" s="362">
        <v>187.9</v>
      </c>
      <c r="G131" s="362">
        <v>43.4</v>
      </c>
      <c r="H131" s="362">
        <f t="shared" si="17"/>
        <v>8154.86</v>
      </c>
      <c r="I131" s="362">
        <f>(G131*J19)+G131</f>
        <v>53.834936408674324</v>
      </c>
      <c r="J131" s="377">
        <f t="shared" si="18"/>
        <v>10115.584551189906</v>
      </c>
      <c r="K131" s="400"/>
      <c r="L131" s="91">
        <v>187.9</v>
      </c>
      <c r="M131" s="91">
        <v>0</v>
      </c>
      <c r="N131" s="91">
        <f t="shared" si="11"/>
        <v>187.9</v>
      </c>
      <c r="O131" s="91">
        <f t="shared" si="16"/>
        <v>10115.584551189906</v>
      </c>
      <c r="P131" s="91"/>
      <c r="Q131" s="408"/>
      <c r="T131" s="409"/>
    </row>
    <row r="132" spans="1:20" s="11" customFormat="1" ht="12.75">
      <c r="A132" s="361" t="s">
        <v>261</v>
      </c>
      <c r="B132" s="361"/>
      <c r="C132" s="361" t="s">
        <v>597</v>
      </c>
      <c r="D132" s="360" t="s">
        <v>618</v>
      </c>
      <c r="E132" s="361" t="s">
        <v>278</v>
      </c>
      <c r="F132" s="362">
        <v>7.97</v>
      </c>
      <c r="G132" s="362">
        <v>70.52</v>
      </c>
      <c r="H132" s="362">
        <f t="shared" si="17"/>
        <v>562.0444</v>
      </c>
      <c r="I132" s="362">
        <f>(G132*J19)+G132</f>
        <v>87.47556948248187</v>
      </c>
      <c r="J132" s="377">
        <f t="shared" si="18"/>
        <v>697.1802887753805</v>
      </c>
      <c r="K132" s="400"/>
      <c r="L132" s="91">
        <v>7.97</v>
      </c>
      <c r="M132" s="91">
        <v>0</v>
      </c>
      <c r="N132" s="91">
        <f t="shared" si="11"/>
        <v>7.97</v>
      </c>
      <c r="O132" s="91">
        <f t="shared" si="16"/>
        <v>697.1802887753805</v>
      </c>
      <c r="P132" s="91"/>
      <c r="Q132" s="408"/>
      <c r="T132" s="409"/>
    </row>
    <row r="133" spans="1:20" s="11" customFormat="1" ht="12.75">
      <c r="A133" s="361" t="s">
        <v>262</v>
      </c>
      <c r="B133" s="361"/>
      <c r="C133" s="361" t="s">
        <v>597</v>
      </c>
      <c r="D133" s="360" t="s">
        <v>619</v>
      </c>
      <c r="E133" s="361" t="s">
        <v>278</v>
      </c>
      <c r="F133" s="362">
        <v>24.74</v>
      </c>
      <c r="G133" s="362">
        <v>61.84</v>
      </c>
      <c r="H133" s="362">
        <f t="shared" si="17"/>
        <v>1529.9216</v>
      </c>
      <c r="I133" s="362">
        <f>(G133*J19)+G133</f>
        <v>76.70858220074702</v>
      </c>
      <c r="J133" s="377">
        <f t="shared" si="18"/>
        <v>1897.770323646481</v>
      </c>
      <c r="K133" s="400"/>
      <c r="L133" s="91">
        <v>24.74</v>
      </c>
      <c r="M133" s="91">
        <v>0</v>
      </c>
      <c r="N133" s="91">
        <f t="shared" si="11"/>
        <v>24.74</v>
      </c>
      <c r="O133" s="91">
        <f t="shared" si="16"/>
        <v>1897.770323646481</v>
      </c>
      <c r="P133" s="91"/>
      <c r="Q133" s="408"/>
      <c r="T133" s="409"/>
    </row>
    <row r="134" spans="1:20" s="11" customFormat="1" ht="12.75">
      <c r="A134" s="361" t="s">
        <v>263</v>
      </c>
      <c r="B134" s="361"/>
      <c r="C134" s="361" t="s">
        <v>597</v>
      </c>
      <c r="D134" s="360" t="s">
        <v>607</v>
      </c>
      <c r="E134" s="361" t="s">
        <v>278</v>
      </c>
      <c r="F134" s="362">
        <v>166.6</v>
      </c>
      <c r="G134" s="362">
        <v>8.13</v>
      </c>
      <c r="H134" s="362">
        <f t="shared" si="17"/>
        <v>1354.458</v>
      </c>
      <c r="I134" s="362">
        <f>(G134*J19)+G134</f>
        <v>10.084747304205584</v>
      </c>
      <c r="J134" s="377">
        <f t="shared" si="18"/>
        <v>1680.1189008806502</v>
      </c>
      <c r="K134" s="400"/>
      <c r="L134" s="91">
        <v>166.6</v>
      </c>
      <c r="M134" s="91">
        <v>0</v>
      </c>
      <c r="N134" s="91">
        <f t="shared" si="11"/>
        <v>166.6</v>
      </c>
      <c r="O134" s="91">
        <f t="shared" si="16"/>
        <v>1680.1189008806502</v>
      </c>
      <c r="P134" s="91"/>
      <c r="Q134" s="408"/>
      <c r="T134" s="409"/>
    </row>
    <row r="135" spans="1:20" s="11" customFormat="1" ht="12.75">
      <c r="A135" s="361" t="s">
        <v>120</v>
      </c>
      <c r="B135" s="361" t="s">
        <v>295</v>
      </c>
      <c r="C135" s="359">
        <v>84679</v>
      </c>
      <c r="D135" s="360" t="s">
        <v>633</v>
      </c>
      <c r="E135" s="361" t="s">
        <v>276</v>
      </c>
      <c r="F135" s="362">
        <v>146.52</v>
      </c>
      <c r="G135" s="362">
        <v>11.84</v>
      </c>
      <c r="H135" s="362">
        <f t="shared" si="17"/>
        <v>1734.7968</v>
      </c>
      <c r="I135" s="362">
        <f>(G135*J19)+G135</f>
        <v>14.68676606172129</v>
      </c>
      <c r="J135" s="377">
        <f t="shared" si="18"/>
        <v>2151.9049633634036</v>
      </c>
      <c r="K135" s="400"/>
      <c r="L135" s="91">
        <v>146.52</v>
      </c>
      <c r="M135" s="91">
        <v>0</v>
      </c>
      <c r="N135" s="91">
        <f t="shared" si="11"/>
        <v>146.52</v>
      </c>
      <c r="O135" s="91">
        <f t="shared" si="16"/>
        <v>2151.9049633634036</v>
      </c>
      <c r="P135" s="91"/>
      <c r="Q135" s="408"/>
      <c r="T135" s="409"/>
    </row>
    <row r="136" spans="1:20" s="11" customFormat="1" ht="12.75">
      <c r="A136" s="361" t="s">
        <v>635</v>
      </c>
      <c r="B136" s="361" t="s">
        <v>295</v>
      </c>
      <c r="C136" s="359">
        <v>83635</v>
      </c>
      <c r="D136" s="425" t="s">
        <v>642</v>
      </c>
      <c r="E136" s="361" t="s">
        <v>309</v>
      </c>
      <c r="F136" s="362">
        <v>2</v>
      </c>
      <c r="G136" s="362">
        <v>119.6</v>
      </c>
      <c r="H136" s="362">
        <f t="shared" si="17"/>
        <v>239.2</v>
      </c>
      <c r="I136" s="362">
        <f>(G136*J19)+G136</f>
        <v>148.35618420454952</v>
      </c>
      <c r="J136" s="377">
        <f t="shared" si="18"/>
        <v>296.71236840909904</v>
      </c>
      <c r="K136" s="400"/>
      <c r="L136" s="91">
        <v>2</v>
      </c>
      <c r="M136" s="91">
        <v>0</v>
      </c>
      <c r="N136" s="91">
        <f t="shared" si="11"/>
        <v>2</v>
      </c>
      <c r="O136" s="91">
        <f t="shared" si="16"/>
        <v>296.71236840909904</v>
      </c>
      <c r="P136" s="91"/>
      <c r="Q136" s="408"/>
      <c r="T136" s="409"/>
    </row>
    <row r="137" spans="1:20" s="11" customFormat="1" ht="12.75">
      <c r="A137" s="361" t="s">
        <v>636</v>
      </c>
      <c r="B137" s="361" t="s">
        <v>294</v>
      </c>
      <c r="C137" s="359" t="s">
        <v>644</v>
      </c>
      <c r="D137" s="425" t="s">
        <v>643</v>
      </c>
      <c r="E137" s="361" t="s">
        <v>309</v>
      </c>
      <c r="F137" s="362">
        <v>1</v>
      </c>
      <c r="G137" s="362">
        <v>119.79</v>
      </c>
      <c r="H137" s="362">
        <f t="shared" si="17"/>
        <v>119.79</v>
      </c>
      <c r="I137" s="362">
        <f>(G137*J19)+G137</f>
        <v>148.59186710587784</v>
      </c>
      <c r="J137" s="377">
        <f t="shared" si="18"/>
        <v>148.59186710587784</v>
      </c>
      <c r="K137" s="400"/>
      <c r="L137" s="91">
        <v>1</v>
      </c>
      <c r="M137" s="91">
        <v>0</v>
      </c>
      <c r="N137" s="91">
        <f>L137-M137</f>
        <v>1</v>
      </c>
      <c r="O137" s="91">
        <f t="shared" si="16"/>
        <v>148.59186710587784</v>
      </c>
      <c r="P137" s="91"/>
      <c r="Q137" s="408"/>
      <c r="T137" s="409"/>
    </row>
    <row r="138" spans="1:20" s="11" customFormat="1" ht="12.75">
      <c r="A138" s="361" t="s">
        <v>637</v>
      </c>
      <c r="B138" s="361" t="s">
        <v>294</v>
      </c>
      <c r="C138" s="359" t="s">
        <v>122</v>
      </c>
      <c r="D138" s="425" t="s">
        <v>121</v>
      </c>
      <c r="E138" s="361" t="s">
        <v>309</v>
      </c>
      <c r="F138" s="362">
        <v>4</v>
      </c>
      <c r="G138" s="362">
        <v>66.86</v>
      </c>
      <c r="H138" s="362">
        <f t="shared" si="17"/>
        <v>267.44</v>
      </c>
      <c r="I138" s="362">
        <f>(G138*J19)+G138</f>
        <v>82.93557254110519</v>
      </c>
      <c r="J138" s="377">
        <f t="shared" si="18"/>
        <v>331.74229016442075</v>
      </c>
      <c r="K138" s="400"/>
      <c r="L138" s="91">
        <v>4</v>
      </c>
      <c r="M138" s="91">
        <v>0</v>
      </c>
      <c r="N138" s="91">
        <f>L138-M138</f>
        <v>4</v>
      </c>
      <c r="O138" s="91">
        <f t="shared" si="16"/>
        <v>331.74229016442075</v>
      </c>
      <c r="P138" s="91"/>
      <c r="Q138" s="408"/>
      <c r="T138" s="409"/>
    </row>
    <row r="139" spans="1:20" s="11" customFormat="1" ht="12.75">
      <c r="A139" s="361" t="s">
        <v>638</v>
      </c>
      <c r="B139" s="361" t="s">
        <v>294</v>
      </c>
      <c r="C139" s="359" t="s">
        <v>123</v>
      </c>
      <c r="D139" s="425" t="s">
        <v>124</v>
      </c>
      <c r="E139" s="361" t="s">
        <v>309</v>
      </c>
      <c r="F139" s="362">
        <v>2</v>
      </c>
      <c r="G139" s="362">
        <v>20.45</v>
      </c>
      <c r="H139" s="362">
        <f t="shared" si="17"/>
        <v>40.9</v>
      </c>
      <c r="I139" s="362">
        <f>(G139*J19)+G139</f>
        <v>25.36692280086152</v>
      </c>
      <c r="J139" s="377">
        <f t="shared" si="18"/>
        <v>50.73384560172304</v>
      </c>
      <c r="K139" s="400"/>
      <c r="L139" s="91">
        <v>2</v>
      </c>
      <c r="M139" s="91">
        <v>0</v>
      </c>
      <c r="N139" s="91">
        <f>L139-M139</f>
        <v>2</v>
      </c>
      <c r="O139" s="91">
        <f t="shared" si="16"/>
        <v>50.73384560172304</v>
      </c>
      <c r="P139" s="91"/>
      <c r="Q139" s="408"/>
      <c r="T139" s="409"/>
    </row>
    <row r="140" spans="1:20" s="11" customFormat="1" ht="22.5">
      <c r="A140" s="361" t="s">
        <v>645</v>
      </c>
      <c r="B140" s="361"/>
      <c r="C140" s="359" t="s">
        <v>597</v>
      </c>
      <c r="D140" s="426" t="s">
        <v>682</v>
      </c>
      <c r="E140" s="361" t="s">
        <v>309</v>
      </c>
      <c r="F140" s="362">
        <v>1</v>
      </c>
      <c r="G140" s="362">
        <v>43.4</v>
      </c>
      <c r="H140" s="362">
        <f t="shared" si="17"/>
        <v>43.4</v>
      </c>
      <c r="I140" s="362">
        <f>(G140*J19)+G140</f>
        <v>53.834936408674324</v>
      </c>
      <c r="J140" s="377">
        <f t="shared" si="18"/>
        <v>53.834936408674324</v>
      </c>
      <c r="K140" s="400"/>
      <c r="L140" s="91">
        <v>1</v>
      </c>
      <c r="M140" s="91">
        <v>0</v>
      </c>
      <c r="N140" s="91">
        <f>L140-M140</f>
        <v>1</v>
      </c>
      <c r="O140" s="91">
        <f t="shared" si="16"/>
        <v>53.834936408674324</v>
      </c>
      <c r="P140" s="91"/>
      <c r="Q140" s="408"/>
      <c r="T140" s="409"/>
    </row>
    <row r="141" spans="1:20" s="11" customFormat="1" ht="12.75">
      <c r="A141" s="348" t="s">
        <v>646</v>
      </c>
      <c r="B141" s="348" t="s">
        <v>295</v>
      </c>
      <c r="C141" s="427">
        <v>73631</v>
      </c>
      <c r="D141" s="350" t="s">
        <v>566</v>
      </c>
      <c r="E141" s="348" t="s">
        <v>276</v>
      </c>
      <c r="F141" s="351">
        <v>20.313000000000002</v>
      </c>
      <c r="G141" s="351">
        <v>229.68</v>
      </c>
      <c r="H141" s="351">
        <f t="shared" si="17"/>
        <v>4665.489840000001</v>
      </c>
      <c r="I141" s="351">
        <f>(G141*J19)+G141</f>
        <v>284.9034146162286</v>
      </c>
      <c r="J141" s="352">
        <f t="shared" si="18"/>
        <v>5787.243061099452</v>
      </c>
      <c r="K141" s="400"/>
      <c r="L141" s="91">
        <v>20.313000000000002</v>
      </c>
      <c r="M141" s="91">
        <v>0</v>
      </c>
      <c r="N141" s="91">
        <f>L141-M141</f>
        <v>20.313000000000002</v>
      </c>
      <c r="O141" s="91">
        <f t="shared" si="16"/>
        <v>5787.243061099452</v>
      </c>
      <c r="P141" s="91"/>
      <c r="Q141" s="408"/>
      <c r="T141" s="409"/>
    </row>
    <row r="142" spans="1:20" ht="12.75">
      <c r="A142" s="366"/>
      <c r="B142" s="393"/>
      <c r="C142" s="393"/>
      <c r="D142" s="393" t="s">
        <v>288</v>
      </c>
      <c r="E142" s="366"/>
      <c r="F142" s="394"/>
      <c r="G142" s="394"/>
      <c r="H142" s="394"/>
      <c r="I142" s="394"/>
      <c r="J142" s="372">
        <f>J22+J27+J36+J45+J53+J57+J72+J88+J97+J99+J127</f>
        <v>251240.0055983555</v>
      </c>
      <c r="K142" s="339">
        <v>225251.3</v>
      </c>
      <c r="L142" s="168"/>
      <c r="M142" s="168"/>
      <c r="N142" s="168"/>
      <c r="O142" s="168">
        <f>SUM(O22:O141)</f>
        <v>251240.00559835546</v>
      </c>
      <c r="P142" s="168"/>
      <c r="Q142" s="127">
        <f>SUM(Q22:Q127)</f>
        <v>251240.0055983555</v>
      </c>
      <c r="T142" s="7"/>
    </row>
    <row r="143" spans="1:31" ht="24.75" customHeight="1">
      <c r="A143" s="462" t="s">
        <v>711</v>
      </c>
      <c r="B143" s="462"/>
      <c r="C143" s="462"/>
      <c r="D143" s="462"/>
      <c r="E143" s="462"/>
      <c r="F143" s="462"/>
      <c r="G143" s="462"/>
      <c r="H143" s="462"/>
      <c r="I143" s="462"/>
      <c r="J143" s="462"/>
      <c r="K143" s="154"/>
      <c r="L143" s="154"/>
      <c r="M143" s="171"/>
      <c r="N143" s="171"/>
      <c r="O143" s="171"/>
      <c r="P143" s="171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9" customHeight="1">
      <c r="A144" s="211" t="s">
        <v>701</v>
      </c>
      <c r="B144" s="211"/>
      <c r="C144" s="211"/>
      <c r="D144" s="211"/>
      <c r="E144" s="212"/>
      <c r="F144" s="213"/>
      <c r="G144" s="213"/>
      <c r="H144" s="213"/>
      <c r="I144" s="213"/>
      <c r="J144" s="213"/>
      <c r="K144" s="79"/>
      <c r="L144" s="79"/>
      <c r="M144" s="79"/>
      <c r="N144" s="79"/>
      <c r="O144" s="79"/>
      <c r="P144" s="79"/>
      <c r="Q144" s="5"/>
      <c r="R144" s="436">
        <f>S18</f>
        <v>307500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1.25" customHeight="1">
      <c r="A145" s="5" t="s">
        <v>713</v>
      </c>
      <c r="B145" s="5"/>
      <c r="C145" s="5"/>
      <c r="D145" s="5"/>
      <c r="E145" s="55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5"/>
      <c r="R145" s="436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6" customHeight="1">
      <c r="A146" s="5"/>
      <c r="B146" s="5"/>
      <c r="C146" s="5"/>
      <c r="D146" s="5"/>
      <c r="E146" s="55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5"/>
      <c r="R146" s="401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>
      <c r="A147" s="5" t="s">
        <v>104</v>
      </c>
      <c r="B147" s="5"/>
      <c r="C147" s="5"/>
      <c r="D147" s="5"/>
      <c r="E147" s="55"/>
      <c r="F147" s="87"/>
      <c r="G147" s="88"/>
      <c r="H147" s="89"/>
      <c r="I147" s="90"/>
      <c r="J147" s="91"/>
      <c r="K147" s="91"/>
      <c r="M147" s="91"/>
      <c r="N147" s="91"/>
      <c r="O147" s="91"/>
      <c r="P147" s="91"/>
      <c r="Q147" s="92"/>
      <c r="R147" s="91"/>
      <c r="S147" s="91"/>
      <c r="T147" s="9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>
      <c r="A148" s="5"/>
      <c r="B148" s="5"/>
      <c r="C148" s="438" t="str">
        <f>E17</f>
        <v>RÔMULO FERNANDES DE SOUSA</v>
      </c>
      <c r="D148" s="438"/>
      <c r="E148" s="55"/>
      <c r="F148" s="87"/>
      <c r="G148" s="93"/>
      <c r="H148" s="89"/>
      <c r="I148" s="90"/>
      <c r="J148" s="91"/>
      <c r="K148" s="91"/>
      <c r="M148" s="91"/>
      <c r="N148" s="91"/>
      <c r="O148" s="91">
        <f>J142-O142</f>
        <v>0</v>
      </c>
      <c r="P148" s="91"/>
      <c r="Q148" s="94">
        <v>321708.95</v>
      </c>
      <c r="R148" s="91"/>
      <c r="S148" s="91"/>
      <c r="T148" s="9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>
      <c r="A149" s="5"/>
      <c r="B149" s="5"/>
      <c r="C149" s="438" t="str">
        <f>E18</f>
        <v>Engº Civil CREA: ES-031073/D</v>
      </c>
      <c r="D149" s="438"/>
      <c r="E149" s="35"/>
      <c r="F149" s="35"/>
      <c r="G149" s="35"/>
      <c r="H149" s="35"/>
      <c r="I149" s="79"/>
      <c r="J149" s="79"/>
      <c r="K149" s="79"/>
      <c r="M149" s="79"/>
      <c r="N149" s="79"/>
      <c r="O149" s="79"/>
      <c r="P149" s="79"/>
      <c r="Q149" s="34">
        <f>Q148-J142</f>
        <v>70468.94440164452</v>
      </c>
      <c r="R149" s="5"/>
      <c r="S149" s="5"/>
      <c r="T149" s="30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5:17" ht="12.75">
      <c r="E150" s="35"/>
      <c r="F150" s="35"/>
      <c r="G150" s="35"/>
      <c r="H150" s="35"/>
      <c r="I150" s="35"/>
      <c r="J150" s="85"/>
      <c r="K150" s="85"/>
      <c r="L150" s="85"/>
      <c r="M150" s="85"/>
      <c r="N150" s="85"/>
      <c r="O150" s="85"/>
      <c r="P150" s="85"/>
      <c r="Q150" s="86"/>
    </row>
    <row r="151" spans="1:17" ht="12.75">
      <c r="A151" s="437"/>
      <c r="B151" s="437"/>
      <c r="C151" s="437"/>
      <c r="D151" s="437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6"/>
    </row>
    <row r="152" spans="4:17" ht="12.75">
      <c r="D152" s="83"/>
      <c r="F152" s="132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6"/>
    </row>
    <row r="153" spans="4:6" ht="12.75">
      <c r="D153" s="83"/>
      <c r="F153" s="133"/>
    </row>
    <row r="154" spans="4:6" ht="12.75">
      <c r="D154" s="83"/>
      <c r="F154" s="13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spans="4:9" ht="12.75">
      <c r="D159" s="83"/>
      <c r="E159" s="134"/>
      <c r="F159" s="134"/>
      <c r="G159" s="134"/>
      <c r="H159" s="134"/>
      <c r="I159" s="134"/>
    </row>
    <row r="160" spans="4:6" ht="12.75">
      <c r="D160" s="83"/>
      <c r="F160" s="84"/>
    </row>
    <row r="161" spans="4:6" ht="12.75">
      <c r="D161" s="83"/>
      <c r="F161" s="84"/>
    </row>
    <row r="162" ht="12.75">
      <c r="D162" s="83"/>
    </row>
    <row r="163" spans="4:6" ht="12.75">
      <c r="D163" s="6"/>
      <c r="F163" s="84"/>
    </row>
    <row r="164" spans="4:6" ht="12.75">
      <c r="D164" s="6"/>
      <c r="F164" s="84"/>
    </row>
    <row r="165" ht="12.75">
      <c r="D165" s="81"/>
    </row>
    <row r="166" ht="12.75">
      <c r="D166" s="81"/>
    </row>
    <row r="167" ht="12.75">
      <c r="D167" s="81"/>
    </row>
    <row r="168" ht="12.75">
      <c r="D168" s="81"/>
    </row>
    <row r="169" spans="1:7" ht="12.75">
      <c r="A169" s="461"/>
      <c r="B169" s="461"/>
      <c r="C169" s="461"/>
      <c r="D169" s="461"/>
      <c r="E169" s="95"/>
      <c r="F169" s="96"/>
      <c r="G169" s="96"/>
    </row>
  </sheetData>
  <sheetProtection/>
  <mergeCells count="39">
    <mergeCell ref="R144:R145"/>
    <mergeCell ref="A151:D151"/>
    <mergeCell ref="C148:D148"/>
    <mergeCell ref="C149:D149"/>
    <mergeCell ref="E17:J17"/>
    <mergeCell ref="B20:B21"/>
    <mergeCell ref="G20:H20"/>
    <mergeCell ref="D20:D21"/>
    <mergeCell ref="E19:F19"/>
    <mergeCell ref="G19:H19"/>
    <mergeCell ref="E18:J18"/>
    <mergeCell ref="A6:C7"/>
    <mergeCell ref="A12:C12"/>
    <mergeCell ref="D6:D7"/>
    <mergeCell ref="E6:G7"/>
    <mergeCell ref="A11:C11"/>
    <mergeCell ref="E11:F11"/>
    <mergeCell ref="E9:F9"/>
    <mergeCell ref="A10:C10"/>
    <mergeCell ref="J6:J7"/>
    <mergeCell ref="A169:D169"/>
    <mergeCell ref="A143:J143"/>
    <mergeCell ref="A14:J14"/>
    <mergeCell ref="A20:A21"/>
    <mergeCell ref="I20:J20"/>
    <mergeCell ref="E20:E21"/>
    <mergeCell ref="F20:F21"/>
    <mergeCell ref="I15:J15"/>
    <mergeCell ref="C20:C21"/>
    <mergeCell ref="B16:D16"/>
    <mergeCell ref="E12:F12"/>
    <mergeCell ref="H6:I7"/>
    <mergeCell ref="A8:C8"/>
    <mergeCell ref="E8:F8"/>
    <mergeCell ref="H8:J13"/>
    <mergeCell ref="A9:C9"/>
    <mergeCell ref="A13:C13"/>
    <mergeCell ref="E13:F13"/>
    <mergeCell ref="E10:F10"/>
  </mergeCells>
  <printOptions horizontalCentered="1"/>
  <pageMargins left="0.3937007874015748" right="0.1968503937007874" top="0" bottom="0" header="0" footer="0.1968503937007874"/>
  <pageSetup fitToHeight="0" fitToWidth="1" horizontalDpi="300" verticalDpi="300" orientation="landscape" paperSize="9" scale="92" r:id="rId2"/>
  <headerFooter alignWithMargins="0">
    <oddFooter>&amp;CPágina &amp;P de &amp;N</oddFooter>
  </headerFooter>
  <rowBreaks count="4" manualBreakCount="4">
    <brk id="49" max="9" man="1"/>
    <brk id="73" max="9" man="1"/>
    <brk id="97" max="9" man="1"/>
    <brk id="12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6:N39"/>
  <sheetViews>
    <sheetView tabSelected="1" view="pageBreakPreview" zoomScaleSheetLayoutView="100" zoomScalePageLayoutView="0" workbookViewId="0" topLeftCell="A1">
      <selection activeCell="B38" sqref="B38:E38"/>
    </sheetView>
  </sheetViews>
  <sheetFormatPr defaultColWidth="9.140625" defaultRowHeight="12.75"/>
  <cols>
    <col min="1" max="1" width="5.7109375" style="0" customWidth="1"/>
    <col min="5" max="5" width="9.7109375" style="0" customWidth="1"/>
    <col min="6" max="6" width="11.00390625" style="0" customWidth="1"/>
    <col min="7" max="7" width="9.421875" style="0" customWidth="1"/>
    <col min="14" max="14" width="12.8515625" style="0" customWidth="1"/>
  </cols>
  <sheetData>
    <row r="5" ht="5.25" customHeight="1"/>
    <row r="6" spans="1:14" ht="15.75" customHeight="1">
      <c r="A6" s="520" t="s">
        <v>340</v>
      </c>
      <c r="B6" s="521"/>
      <c r="C6" s="521"/>
      <c r="D6" s="521"/>
      <c r="E6" s="521"/>
      <c r="F6" s="521"/>
      <c r="G6" s="521"/>
      <c r="H6" s="521"/>
      <c r="I6" s="521"/>
      <c r="J6" s="521"/>
      <c r="K6" s="522"/>
      <c r="L6" s="23" t="s">
        <v>341</v>
      </c>
      <c r="M6" s="531" t="str">
        <f>'PLANILHA CONCLUSÃO'!G19</f>
        <v>0312.659-59/2009</v>
      </c>
      <c r="N6" s="522"/>
    </row>
    <row r="7" spans="1:14" ht="18.75" customHeight="1">
      <c r="A7" s="520" t="str">
        <f>'PLANILHA CONCLUSÃO'!B16</f>
        <v>CENTRO DE EVENTOS</v>
      </c>
      <c r="B7" s="521"/>
      <c r="C7" s="521"/>
      <c r="D7" s="521"/>
      <c r="E7" s="522"/>
      <c r="F7" s="24" t="s">
        <v>342</v>
      </c>
      <c r="G7" s="121">
        <v>1</v>
      </c>
      <c r="H7" s="510" t="s">
        <v>392</v>
      </c>
      <c r="I7" s="511"/>
      <c r="J7" s="502">
        <f>F32</f>
        <v>251240.0055983555</v>
      </c>
      <c r="K7" s="503"/>
      <c r="L7" s="24" t="s">
        <v>353</v>
      </c>
      <c r="M7" s="520" t="str">
        <f>'PLANILHA CONCLUSÃO'!I15</f>
        <v>Agosto de 2013</v>
      </c>
      <c r="N7" s="522"/>
    </row>
    <row r="8" spans="1:14" ht="5.25" customHeight="1">
      <c r="A8" s="512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4"/>
    </row>
    <row r="9" spans="1:14" ht="22.5">
      <c r="A9" s="21" t="s">
        <v>343</v>
      </c>
      <c r="B9" s="515" t="s">
        <v>338</v>
      </c>
      <c r="C9" s="516"/>
      <c r="D9" s="516"/>
      <c r="E9" s="517"/>
      <c r="F9" s="22" t="s">
        <v>351</v>
      </c>
      <c r="G9" s="22" t="s">
        <v>350</v>
      </c>
      <c r="H9" s="21" t="s">
        <v>344</v>
      </c>
      <c r="I9" s="21" t="s">
        <v>345</v>
      </c>
      <c r="J9" s="21" t="s">
        <v>346</v>
      </c>
      <c r="K9" s="21" t="s">
        <v>347</v>
      </c>
      <c r="L9" s="21" t="s">
        <v>348</v>
      </c>
      <c r="M9" s="21" t="s">
        <v>349</v>
      </c>
      <c r="N9" s="21" t="s">
        <v>290</v>
      </c>
    </row>
    <row r="10" spans="1:14" ht="12.75">
      <c r="A10" s="494" t="str">
        <f>'PLANILHA CONCLUSÃO'!A22</f>
        <v>4.0</v>
      </c>
      <c r="B10" s="504" t="str">
        <f>'PLANILHA CONCLUSÃO'!D22</f>
        <v>ALVENARIA E DIVISÕES </v>
      </c>
      <c r="C10" s="505"/>
      <c r="D10" s="505"/>
      <c r="E10" s="506"/>
      <c r="F10" s="518">
        <f>'PLANILHA CONCLUSÃO'!J22</f>
        <v>14761.480220784819</v>
      </c>
      <c r="G10" s="23" t="s">
        <v>352</v>
      </c>
      <c r="H10" s="120">
        <v>0.5</v>
      </c>
      <c r="I10" s="120">
        <v>0.3</v>
      </c>
      <c r="J10" s="120">
        <v>0.2</v>
      </c>
      <c r="K10" s="120"/>
      <c r="L10" s="120"/>
      <c r="M10" s="120"/>
      <c r="N10" s="25">
        <f aca="true" t="shared" si="0" ref="N10:N32">SUM(H10:M10)</f>
        <v>1</v>
      </c>
    </row>
    <row r="11" spans="1:14" ht="12.75">
      <c r="A11" s="495"/>
      <c r="B11" s="507"/>
      <c r="C11" s="508"/>
      <c r="D11" s="508"/>
      <c r="E11" s="509"/>
      <c r="F11" s="519"/>
      <c r="G11" s="23" t="s">
        <v>339</v>
      </c>
      <c r="H11" s="49">
        <f>F10*H10</f>
        <v>7380.740110392409</v>
      </c>
      <c r="I11" s="49">
        <f>F10*I10</f>
        <v>4428.4440662354455</v>
      </c>
      <c r="J11" s="49">
        <f>F10*J10</f>
        <v>2952.296044156964</v>
      </c>
      <c r="K11" s="49">
        <f>F10*K10</f>
        <v>0</v>
      </c>
      <c r="L11" s="49"/>
      <c r="M11" s="49"/>
      <c r="N11" s="51">
        <f t="shared" si="0"/>
        <v>14761.480220784819</v>
      </c>
    </row>
    <row r="12" spans="1:14" ht="12.75">
      <c r="A12" s="494" t="str">
        <f>'PLANILHA CONCLUSÃO'!A27</f>
        <v>5.0</v>
      </c>
      <c r="B12" s="523" t="str">
        <f>'PLANILHA CONCLUSÃO'!D27</f>
        <v>REVESTIMENTO</v>
      </c>
      <c r="C12" s="524"/>
      <c r="D12" s="524"/>
      <c r="E12" s="525"/>
      <c r="F12" s="518">
        <f>'PLANILHA CONCLUSÃO'!J27</f>
        <v>37053.39556886025</v>
      </c>
      <c r="G12" s="23" t="s">
        <v>352</v>
      </c>
      <c r="H12" s="120">
        <v>0.3</v>
      </c>
      <c r="I12" s="120">
        <v>0.4</v>
      </c>
      <c r="J12" s="120">
        <v>0.3</v>
      </c>
      <c r="K12" s="120"/>
      <c r="L12" s="120"/>
      <c r="M12" s="120"/>
      <c r="N12" s="25">
        <f t="shared" si="0"/>
        <v>1</v>
      </c>
    </row>
    <row r="13" spans="1:14" ht="12.75">
      <c r="A13" s="495"/>
      <c r="B13" s="526"/>
      <c r="C13" s="527"/>
      <c r="D13" s="527"/>
      <c r="E13" s="528"/>
      <c r="F13" s="519"/>
      <c r="G13" s="23" t="s">
        <v>339</v>
      </c>
      <c r="H13" s="49">
        <f>F12*H12</f>
        <v>11116.018670658075</v>
      </c>
      <c r="I13" s="49">
        <f>F12*I12</f>
        <v>14821.3582275441</v>
      </c>
      <c r="J13" s="49">
        <f>F12*J12</f>
        <v>11116.018670658075</v>
      </c>
      <c r="K13" s="49">
        <f>F12*K12</f>
        <v>0</v>
      </c>
      <c r="L13" s="49">
        <f>F12*L12</f>
        <v>0</v>
      </c>
      <c r="M13" s="49">
        <f>(F12*M12)</f>
        <v>0</v>
      </c>
      <c r="N13" s="51">
        <f t="shared" si="0"/>
        <v>37053.39556886025</v>
      </c>
    </row>
    <row r="14" spans="1:14" ht="12.75">
      <c r="A14" s="494" t="str">
        <f>'PLANILHA CONCLUSÃO'!A36</f>
        <v>6.0</v>
      </c>
      <c r="B14" s="504" t="str">
        <f>'PLANILHA CONCLUSÃO'!D36</f>
        <v>PISOS</v>
      </c>
      <c r="C14" s="505"/>
      <c r="D14" s="505"/>
      <c r="E14" s="506"/>
      <c r="F14" s="518">
        <f>'PLANILHA CONCLUSÃO'!J36</f>
        <v>32639.072436215265</v>
      </c>
      <c r="G14" s="23" t="s">
        <v>352</v>
      </c>
      <c r="H14" s="120">
        <v>0</v>
      </c>
      <c r="I14" s="120">
        <v>0</v>
      </c>
      <c r="J14" s="120">
        <v>0</v>
      </c>
      <c r="K14" s="120">
        <v>0.3</v>
      </c>
      <c r="L14" s="120">
        <v>0.6</v>
      </c>
      <c r="M14" s="120">
        <v>0.1</v>
      </c>
      <c r="N14" s="25">
        <f t="shared" si="0"/>
        <v>0.9999999999999999</v>
      </c>
    </row>
    <row r="15" spans="1:14" ht="12.75">
      <c r="A15" s="495"/>
      <c r="B15" s="507"/>
      <c r="C15" s="508"/>
      <c r="D15" s="508"/>
      <c r="E15" s="509"/>
      <c r="F15" s="519"/>
      <c r="G15" s="23" t="s">
        <v>339</v>
      </c>
      <c r="H15" s="49">
        <f>F14*H14</f>
        <v>0</v>
      </c>
      <c r="I15" s="49">
        <f>F14*I14</f>
        <v>0</v>
      </c>
      <c r="J15" s="49">
        <f>F14*J14</f>
        <v>0</v>
      </c>
      <c r="K15" s="49">
        <f>F14*K14</f>
        <v>9791.72173086458</v>
      </c>
      <c r="L15" s="49">
        <f>F14*L14</f>
        <v>19583.44346172916</v>
      </c>
      <c r="M15" s="49">
        <f>F14*M14</f>
        <v>3263.9072436215265</v>
      </c>
      <c r="N15" s="51">
        <f t="shared" si="0"/>
        <v>32639.07243621527</v>
      </c>
    </row>
    <row r="16" spans="1:14" ht="12.75">
      <c r="A16" s="494" t="str">
        <f>'PLANILHA CONCLUSÃO'!A45</f>
        <v>7.0</v>
      </c>
      <c r="B16" s="504" t="str">
        <f>'PLANILHA CONCLUSÃO'!D45</f>
        <v>ESQUADRIAS</v>
      </c>
      <c r="C16" s="505"/>
      <c r="D16" s="505"/>
      <c r="E16" s="506"/>
      <c r="F16" s="518">
        <f>'PLANILHA CONCLUSÃO'!J45</f>
        <v>35187.53531580319</v>
      </c>
      <c r="G16" s="23" t="s">
        <v>352</v>
      </c>
      <c r="H16" s="120">
        <v>0</v>
      </c>
      <c r="I16" s="120">
        <v>0</v>
      </c>
      <c r="J16" s="120">
        <v>0.3</v>
      </c>
      <c r="K16" s="120">
        <v>0.3</v>
      </c>
      <c r="L16" s="120">
        <v>0.2</v>
      </c>
      <c r="M16" s="120">
        <v>0.2</v>
      </c>
      <c r="N16" s="25">
        <f t="shared" si="0"/>
        <v>1</v>
      </c>
    </row>
    <row r="17" spans="1:14" ht="12.75">
      <c r="A17" s="495"/>
      <c r="B17" s="507"/>
      <c r="C17" s="508"/>
      <c r="D17" s="508"/>
      <c r="E17" s="509"/>
      <c r="F17" s="519"/>
      <c r="G17" s="23" t="s">
        <v>339</v>
      </c>
      <c r="H17" s="49">
        <f>F16*H16</f>
        <v>0</v>
      </c>
      <c r="I17" s="49">
        <f>F16*I16</f>
        <v>0</v>
      </c>
      <c r="J17" s="49">
        <f>F16*J16</f>
        <v>10556.260594740956</v>
      </c>
      <c r="K17" s="49">
        <f>F16*K16</f>
        <v>10556.260594740956</v>
      </c>
      <c r="L17" s="49">
        <f>F16*L16</f>
        <v>7037.507063160638</v>
      </c>
      <c r="M17" s="49">
        <f>F16*M16</f>
        <v>7037.507063160638</v>
      </c>
      <c r="N17" s="51">
        <f t="shared" si="0"/>
        <v>35187.53531580319</v>
      </c>
    </row>
    <row r="18" spans="1:14" ht="12.75">
      <c r="A18" s="494" t="str">
        <f>'PLANILHA CONCLUSÃO'!A53</f>
        <v>8.0</v>
      </c>
      <c r="B18" s="504" t="str">
        <f>'PLANILHA CONCLUSÃO'!D53</f>
        <v>COBERTURA - ESTRUTURA E TELHA</v>
      </c>
      <c r="C18" s="505"/>
      <c r="D18" s="505"/>
      <c r="E18" s="506"/>
      <c r="F18" s="518">
        <f>'PLANILHA CONCLUSÃO'!J53</f>
        <v>78497.6505093207</v>
      </c>
      <c r="G18" s="23" t="s">
        <v>352</v>
      </c>
      <c r="H18" s="120">
        <v>0</v>
      </c>
      <c r="I18" s="120">
        <v>0</v>
      </c>
      <c r="J18" s="120">
        <v>0</v>
      </c>
      <c r="K18" s="120">
        <v>0.55</v>
      </c>
      <c r="L18" s="120">
        <v>0.4</v>
      </c>
      <c r="M18" s="120">
        <v>0.05</v>
      </c>
      <c r="N18" s="25">
        <f t="shared" si="0"/>
        <v>1</v>
      </c>
    </row>
    <row r="19" spans="1:14" ht="12.75">
      <c r="A19" s="495"/>
      <c r="B19" s="507"/>
      <c r="C19" s="508"/>
      <c r="D19" s="508"/>
      <c r="E19" s="509"/>
      <c r="F19" s="519"/>
      <c r="G19" s="23" t="s">
        <v>339</v>
      </c>
      <c r="H19" s="49">
        <f>F18*H18</f>
        <v>0</v>
      </c>
      <c r="I19" s="49">
        <f>F18*I18</f>
        <v>0</v>
      </c>
      <c r="J19" s="49">
        <f>F18*J18</f>
        <v>0</v>
      </c>
      <c r="K19" s="49">
        <f>F18*K18</f>
        <v>43173.70778012639</v>
      </c>
      <c r="L19" s="49">
        <f>F18*L18</f>
        <v>31399.06020372828</v>
      </c>
      <c r="M19" s="49">
        <f>F18*M18</f>
        <v>3924.882525466035</v>
      </c>
      <c r="N19" s="51">
        <f t="shared" si="0"/>
        <v>78497.6505093207</v>
      </c>
    </row>
    <row r="20" spans="1:14" ht="12.75">
      <c r="A20" s="494" t="str">
        <f>'PLANILHA CONCLUSÃO'!A57</f>
        <v>9.0</v>
      </c>
      <c r="B20" s="504" t="str">
        <f>'PLANILHA CONCLUSÃO'!D57</f>
        <v>INSTALAÇÕES ÁGUA FRIA E ESGOTO</v>
      </c>
      <c r="C20" s="505"/>
      <c r="D20" s="505"/>
      <c r="E20" s="506"/>
      <c r="F20" s="518">
        <f>'PLANILHA CONCLUSÃO'!J57</f>
        <v>4670.789167468822</v>
      </c>
      <c r="G20" s="23" t="s">
        <v>352</v>
      </c>
      <c r="H20" s="120">
        <v>0.1</v>
      </c>
      <c r="I20" s="120">
        <v>0.2</v>
      </c>
      <c r="J20" s="120">
        <v>0.2</v>
      </c>
      <c r="K20" s="120"/>
      <c r="L20" s="120"/>
      <c r="M20" s="120">
        <v>0.5</v>
      </c>
      <c r="N20" s="25">
        <f t="shared" si="0"/>
        <v>1</v>
      </c>
    </row>
    <row r="21" spans="1:14" ht="12.75">
      <c r="A21" s="495"/>
      <c r="B21" s="507"/>
      <c r="C21" s="508"/>
      <c r="D21" s="508"/>
      <c r="E21" s="509"/>
      <c r="F21" s="519"/>
      <c r="G21" s="23" t="s">
        <v>339</v>
      </c>
      <c r="H21" s="49">
        <f>F20*H20</f>
        <v>467.0789167468822</v>
      </c>
      <c r="I21" s="49">
        <f>F20*I20</f>
        <v>934.1578334937644</v>
      </c>
      <c r="J21" s="49">
        <f>F20*J20</f>
        <v>934.1578334937644</v>
      </c>
      <c r="K21" s="49">
        <f>F20*K20</f>
        <v>0</v>
      </c>
      <c r="L21" s="49">
        <f>F20*L20</f>
        <v>0</v>
      </c>
      <c r="M21" s="49">
        <f>F20*M20</f>
        <v>2335.394583734411</v>
      </c>
      <c r="N21" s="51">
        <f t="shared" si="0"/>
        <v>4670.789167468822</v>
      </c>
    </row>
    <row r="22" spans="1:14" ht="12.75">
      <c r="A22" s="494" t="str">
        <f>'PLANILHA CONCLUSÃO'!A72</f>
        <v>10.0</v>
      </c>
      <c r="B22" s="504" t="str">
        <f>'PLANILHA CONCLUSÃO'!D72</f>
        <v>INSTALAÇÕES SANITÁRIAS </v>
      </c>
      <c r="C22" s="505"/>
      <c r="D22" s="505"/>
      <c r="E22" s="506"/>
      <c r="F22" s="518">
        <f>'PLANILHA CONCLUSÃO'!J72</f>
        <v>3910.7655215778377</v>
      </c>
      <c r="G22" s="23" t="s">
        <v>352</v>
      </c>
      <c r="H22" s="120">
        <v>0.1</v>
      </c>
      <c r="I22" s="120">
        <v>0.2</v>
      </c>
      <c r="J22" s="120">
        <v>0.2</v>
      </c>
      <c r="K22" s="120"/>
      <c r="L22" s="120"/>
      <c r="M22" s="120">
        <v>0.5</v>
      </c>
      <c r="N22" s="25">
        <f t="shared" si="0"/>
        <v>1</v>
      </c>
    </row>
    <row r="23" spans="1:14" ht="12.75">
      <c r="A23" s="495"/>
      <c r="B23" s="507"/>
      <c r="C23" s="508"/>
      <c r="D23" s="508"/>
      <c r="E23" s="509"/>
      <c r="F23" s="519"/>
      <c r="G23" s="23" t="s">
        <v>339</v>
      </c>
      <c r="H23" s="49">
        <f>F22*H22</f>
        <v>391.0765521577838</v>
      </c>
      <c r="I23" s="49">
        <f>F22*I22</f>
        <v>782.1531043155676</v>
      </c>
      <c r="J23" s="49">
        <f>F22*J22</f>
        <v>782.1531043155676</v>
      </c>
      <c r="K23" s="49">
        <f>F22*K22</f>
        <v>0</v>
      </c>
      <c r="L23" s="49">
        <f>F22*L22</f>
        <v>0</v>
      </c>
      <c r="M23" s="49">
        <f>F22*M22</f>
        <v>1955.3827607889189</v>
      </c>
      <c r="N23" s="51">
        <f t="shared" si="0"/>
        <v>3910.7655215778377</v>
      </c>
    </row>
    <row r="24" spans="1:14" ht="12.75">
      <c r="A24" s="494" t="str">
        <f>'PLANILHA CONCLUSÃO'!A88</f>
        <v>11.0</v>
      </c>
      <c r="B24" s="504" t="str">
        <f>'PLANILHA CONCLUSÃO'!D88</f>
        <v>METAIS E PEÇAS SANITÁRIAS</v>
      </c>
      <c r="C24" s="505"/>
      <c r="D24" s="505"/>
      <c r="E24" s="506"/>
      <c r="F24" s="518">
        <f>'PLANILHA CONCLUSÃO'!J88</f>
        <v>6880.588643194464</v>
      </c>
      <c r="G24" s="23" t="s">
        <v>352</v>
      </c>
      <c r="H24" s="120">
        <v>0</v>
      </c>
      <c r="I24" s="120">
        <v>0</v>
      </c>
      <c r="J24" s="120">
        <v>0</v>
      </c>
      <c r="K24" s="120">
        <v>0</v>
      </c>
      <c r="L24" s="120"/>
      <c r="M24" s="120">
        <v>1</v>
      </c>
      <c r="N24" s="25">
        <f t="shared" si="0"/>
        <v>1</v>
      </c>
    </row>
    <row r="25" spans="1:14" ht="12.75">
      <c r="A25" s="495"/>
      <c r="B25" s="507"/>
      <c r="C25" s="508"/>
      <c r="D25" s="508"/>
      <c r="E25" s="509"/>
      <c r="F25" s="519"/>
      <c r="G25" s="23" t="s">
        <v>339</v>
      </c>
      <c r="H25" s="49">
        <f>F24*H24</f>
        <v>0</v>
      </c>
      <c r="I25" s="49">
        <f>F24*I24</f>
        <v>0</v>
      </c>
      <c r="J25" s="49">
        <f>F24*J24</f>
        <v>0</v>
      </c>
      <c r="K25" s="49">
        <f>F24*K24</f>
        <v>0</v>
      </c>
      <c r="L25" s="49">
        <f>F24*L24</f>
        <v>0</v>
      </c>
      <c r="M25" s="49">
        <f>F24*M24</f>
        <v>6880.588643194464</v>
      </c>
      <c r="N25" s="51">
        <f t="shared" si="0"/>
        <v>6880.588643194464</v>
      </c>
    </row>
    <row r="26" spans="1:14" ht="12.75">
      <c r="A26" s="494" t="str">
        <f>'PLANILHA CONCLUSÃO'!A97</f>
        <v>12.0</v>
      </c>
      <c r="B26" s="504" t="str">
        <f>'PLANILHA CONCLUSÃO'!D97</f>
        <v>LIGAÇÃO À REDE DE ESGOTO</v>
      </c>
      <c r="C26" s="505"/>
      <c r="D26" s="505"/>
      <c r="E26" s="506"/>
      <c r="F26" s="518">
        <f>'PLANILHA CONCLUSÃO'!J97</f>
        <v>795.045256722943</v>
      </c>
      <c r="G26" s="23" t="s">
        <v>352</v>
      </c>
      <c r="H26" s="120">
        <v>0</v>
      </c>
      <c r="I26" s="120">
        <v>0</v>
      </c>
      <c r="J26" s="120">
        <v>0</v>
      </c>
      <c r="K26" s="120">
        <v>0</v>
      </c>
      <c r="L26" s="120"/>
      <c r="M26" s="120">
        <v>1</v>
      </c>
      <c r="N26" s="25">
        <f t="shared" si="0"/>
        <v>1</v>
      </c>
    </row>
    <row r="27" spans="1:14" ht="12.75">
      <c r="A27" s="495"/>
      <c r="B27" s="507"/>
      <c r="C27" s="508"/>
      <c r="D27" s="508"/>
      <c r="E27" s="509"/>
      <c r="F27" s="519"/>
      <c r="G27" s="23" t="s">
        <v>339</v>
      </c>
      <c r="H27" s="49">
        <f>F26*H26</f>
        <v>0</v>
      </c>
      <c r="I27" s="49">
        <f>F26*I26</f>
        <v>0</v>
      </c>
      <c r="J27" s="49">
        <f>F26*J26</f>
        <v>0</v>
      </c>
      <c r="K27" s="49">
        <f>F26*K26</f>
        <v>0</v>
      </c>
      <c r="L27" s="49">
        <f>F26*L26</f>
        <v>0</v>
      </c>
      <c r="M27" s="49">
        <f>F26*M26</f>
        <v>795.045256722943</v>
      </c>
      <c r="N27" s="51">
        <f t="shared" si="0"/>
        <v>795.045256722943</v>
      </c>
    </row>
    <row r="28" spans="1:14" ht="12.75">
      <c r="A28" s="494" t="str">
        <f>'PLANILHA CONCLUSÃO'!A99</f>
        <v>13.0</v>
      </c>
      <c r="B28" s="504" t="str">
        <f>'PLANILHA CONCLUSÃO'!D99</f>
        <v>INSTALAÇÕES ELÉTRICAS </v>
      </c>
      <c r="C28" s="505"/>
      <c r="D28" s="505"/>
      <c r="E28" s="506"/>
      <c r="F28" s="518">
        <f>'PLANILHA CONCLUSÃO'!J99</f>
        <v>9074.348657048391</v>
      </c>
      <c r="G28" s="23" t="s">
        <v>352</v>
      </c>
      <c r="H28" s="120">
        <v>0.1</v>
      </c>
      <c r="I28" s="120">
        <v>0.2</v>
      </c>
      <c r="J28" s="120">
        <v>0.2</v>
      </c>
      <c r="K28" s="120">
        <v>0</v>
      </c>
      <c r="L28" s="120">
        <v>0</v>
      </c>
      <c r="M28" s="120">
        <v>0.5</v>
      </c>
      <c r="N28" s="25">
        <f t="shared" si="0"/>
        <v>1</v>
      </c>
    </row>
    <row r="29" spans="1:14" ht="12.75">
      <c r="A29" s="495"/>
      <c r="B29" s="507"/>
      <c r="C29" s="508"/>
      <c r="D29" s="508"/>
      <c r="E29" s="509"/>
      <c r="F29" s="519"/>
      <c r="G29" s="23" t="s">
        <v>339</v>
      </c>
      <c r="H29" s="49">
        <f>F28*H28</f>
        <v>907.4348657048391</v>
      </c>
      <c r="I29" s="49">
        <f>F28*I28</f>
        <v>1814.8697314096783</v>
      </c>
      <c r="J29" s="49">
        <f>F28*J28</f>
        <v>1814.8697314096783</v>
      </c>
      <c r="K29" s="49">
        <f>F28*K28</f>
        <v>0</v>
      </c>
      <c r="L29" s="49">
        <f>F28*L28</f>
        <v>0</v>
      </c>
      <c r="M29" s="49">
        <f>F28*M28</f>
        <v>4537.1743285241955</v>
      </c>
      <c r="N29" s="51">
        <f t="shared" si="0"/>
        <v>9074.348657048391</v>
      </c>
    </row>
    <row r="30" spans="1:14" ht="12.75">
      <c r="A30" s="494" t="str">
        <f>'PLANILHA CONCLUSÃO'!A127</f>
        <v>14.0</v>
      </c>
      <c r="B30" s="504" t="str">
        <f>'PLANILHA CONCLUSÃO'!D127</f>
        <v>SERVIÇOS DIVERSOS</v>
      </c>
      <c r="C30" s="505"/>
      <c r="D30" s="505"/>
      <c r="E30" s="506"/>
      <c r="F30" s="518">
        <f>'PLANILHA CONCLUSÃO'!J127</f>
        <v>27769.334301358802</v>
      </c>
      <c r="G30" s="23" t="s">
        <v>352</v>
      </c>
      <c r="H30" s="120">
        <v>0</v>
      </c>
      <c r="I30" s="120">
        <v>0</v>
      </c>
      <c r="J30" s="120">
        <v>0</v>
      </c>
      <c r="K30" s="120">
        <v>0</v>
      </c>
      <c r="L30" s="120">
        <v>0.6</v>
      </c>
      <c r="M30" s="120">
        <v>0.4</v>
      </c>
      <c r="N30" s="25">
        <f t="shared" si="0"/>
        <v>1</v>
      </c>
    </row>
    <row r="31" spans="1:14" ht="12.75">
      <c r="A31" s="495"/>
      <c r="B31" s="507"/>
      <c r="C31" s="508"/>
      <c r="D31" s="508"/>
      <c r="E31" s="509"/>
      <c r="F31" s="519"/>
      <c r="G31" s="23" t="s">
        <v>339</v>
      </c>
      <c r="H31" s="49">
        <f>F30*H30</f>
        <v>0</v>
      </c>
      <c r="I31" s="49">
        <f>F30*I30</f>
        <v>0</v>
      </c>
      <c r="J31" s="49">
        <f>F30*J30</f>
        <v>0</v>
      </c>
      <c r="K31" s="49">
        <f>F30*K30</f>
        <v>0</v>
      </c>
      <c r="L31" s="49">
        <f>F30*L30</f>
        <v>16661.60058081528</v>
      </c>
      <c r="M31" s="49">
        <f>F30*M30</f>
        <v>11107.733720543521</v>
      </c>
      <c r="N31" s="51">
        <f t="shared" si="0"/>
        <v>27769.334301358802</v>
      </c>
    </row>
    <row r="32" spans="1:14" ht="18.75" customHeight="1">
      <c r="A32" s="494"/>
      <c r="B32" s="496" t="s">
        <v>290</v>
      </c>
      <c r="C32" s="497"/>
      <c r="D32" s="497"/>
      <c r="E32" s="498"/>
      <c r="F32" s="532">
        <f>F10+F12+F14+F16+F18+F20+F22+F24+F26+F28+F30</f>
        <v>251240.0055983555</v>
      </c>
      <c r="G32" s="23" t="s">
        <v>352</v>
      </c>
      <c r="H32" s="120">
        <f>H33/F32</f>
        <v>0.08064937376276121</v>
      </c>
      <c r="I32" s="120">
        <f>I33/F32</f>
        <v>0.09067418585962518</v>
      </c>
      <c r="J32" s="120">
        <f>J33/F32</f>
        <v>0.11206716825100763</v>
      </c>
      <c r="K32" s="120">
        <f>K33/F32</f>
        <v>0.2528327045465872</v>
      </c>
      <c r="L32" s="120">
        <f>L33/F32</f>
        <v>0.2972520683223635</v>
      </c>
      <c r="M32" s="120">
        <f>M33/F32</f>
        <v>0.16652449925765528</v>
      </c>
      <c r="N32" s="25">
        <f t="shared" si="0"/>
        <v>1</v>
      </c>
    </row>
    <row r="33" spans="1:14" ht="18" customHeight="1">
      <c r="A33" s="495"/>
      <c r="B33" s="499"/>
      <c r="C33" s="500"/>
      <c r="D33" s="500"/>
      <c r="E33" s="501"/>
      <c r="F33" s="533"/>
      <c r="G33" s="23" t="s">
        <v>339</v>
      </c>
      <c r="H33" s="49">
        <f aca="true" t="shared" si="1" ref="H33:M33">H11+H13+H15+H17+H19+H21+H23+H25+H27+H29+H31</f>
        <v>20262.349115659992</v>
      </c>
      <c r="I33" s="49">
        <f t="shared" si="1"/>
        <v>22780.982962998558</v>
      </c>
      <c r="J33" s="49">
        <f t="shared" si="1"/>
        <v>28155.755978775003</v>
      </c>
      <c r="K33" s="49">
        <f t="shared" si="1"/>
        <v>63521.69010573192</v>
      </c>
      <c r="L33" s="49">
        <f t="shared" si="1"/>
        <v>74681.61130943336</v>
      </c>
      <c r="M33" s="49">
        <f t="shared" si="1"/>
        <v>41837.61612575666</v>
      </c>
      <c r="N33" s="51">
        <f>SUM(H33:M33)</f>
        <v>251240.0055983555</v>
      </c>
    </row>
    <row r="34" spans="1:14" ht="12.75">
      <c r="A34" s="14" t="s">
        <v>369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ht="22.5" customHeight="1"/>
    <row r="36" spans="2:9" ht="12.75">
      <c r="B36" s="493" t="str">
        <f>'PLANILHA CONCLUSÃO'!C148</f>
        <v>RÔMULO FERNANDES DE SOUSA</v>
      </c>
      <c r="C36" s="493"/>
      <c r="D36" s="493"/>
      <c r="E36" s="493"/>
      <c r="F36" s="493"/>
      <c r="G36" s="493"/>
      <c r="H36" s="5"/>
      <c r="I36" s="5"/>
    </row>
    <row r="37" spans="2:12" ht="12.75" customHeight="1">
      <c r="B37" s="493" t="str">
        <f>'PLANILHA CONCLUSÃO'!C149</f>
        <v>Engº Civil CREA: ES-031073/D</v>
      </c>
      <c r="C37" s="493"/>
      <c r="D37" s="493"/>
      <c r="E37" s="493"/>
      <c r="F37" s="493"/>
      <c r="G37" s="493"/>
      <c r="H37" s="29"/>
      <c r="I37" s="29"/>
      <c r="J37" s="28"/>
      <c r="K37" s="28"/>
      <c r="L37" s="28"/>
    </row>
    <row r="38" spans="2:12" ht="12.75">
      <c r="B38" s="530"/>
      <c r="C38" s="530"/>
      <c r="D38" s="530"/>
      <c r="E38" s="530"/>
      <c r="F38" s="119"/>
      <c r="G38" s="119"/>
      <c r="H38" s="119"/>
      <c r="I38" s="119"/>
      <c r="J38" s="27"/>
      <c r="K38" s="27"/>
      <c r="L38" s="27"/>
    </row>
    <row r="39" spans="3:7" ht="12.75">
      <c r="C39" s="529"/>
      <c r="D39" s="529"/>
      <c r="E39" s="529"/>
      <c r="F39" s="529"/>
      <c r="G39" s="529"/>
    </row>
  </sheetData>
  <sheetProtection/>
  <mergeCells count="48">
    <mergeCell ref="B20:E21"/>
    <mergeCell ref="B14:E15"/>
    <mergeCell ref="B16:E17"/>
    <mergeCell ref="B18:E19"/>
    <mergeCell ref="F30:F31"/>
    <mergeCell ref="F32:F33"/>
    <mergeCell ref="F24:F25"/>
    <mergeCell ref="F20:F21"/>
    <mergeCell ref="A22:A23"/>
    <mergeCell ref="B22:E23"/>
    <mergeCell ref="F22:F23"/>
    <mergeCell ref="B38:E38"/>
    <mergeCell ref="M6:N6"/>
    <mergeCell ref="M7:N7"/>
    <mergeCell ref="A6:K6"/>
    <mergeCell ref="F28:F29"/>
    <mergeCell ref="F16:F17"/>
    <mergeCell ref="F18:F19"/>
    <mergeCell ref="F10:F11"/>
    <mergeCell ref="F12:F13"/>
    <mergeCell ref="B12:E13"/>
    <mergeCell ref="F14:F15"/>
    <mergeCell ref="C39:G39"/>
    <mergeCell ref="A12:A13"/>
    <mergeCell ref="A14:A15"/>
    <mergeCell ref="A16:A17"/>
    <mergeCell ref="A18:A19"/>
    <mergeCell ref="A20:A21"/>
    <mergeCell ref="A24:A25"/>
    <mergeCell ref="B24:E25"/>
    <mergeCell ref="H7:I7"/>
    <mergeCell ref="A8:N8"/>
    <mergeCell ref="B9:E9"/>
    <mergeCell ref="A26:A27"/>
    <mergeCell ref="F26:F27"/>
    <mergeCell ref="A7:E7"/>
    <mergeCell ref="A10:A11"/>
    <mergeCell ref="B10:E11"/>
    <mergeCell ref="B36:G36"/>
    <mergeCell ref="B37:G37"/>
    <mergeCell ref="A32:A33"/>
    <mergeCell ref="B32:E33"/>
    <mergeCell ref="J7:K7"/>
    <mergeCell ref="A28:A29"/>
    <mergeCell ref="A30:A31"/>
    <mergeCell ref="B26:E27"/>
    <mergeCell ref="B28:E29"/>
    <mergeCell ref="B30:E31"/>
  </mergeCells>
  <printOptions horizontalCentered="1"/>
  <pageMargins left="0.3937007874015748" right="0.1968503937007874" top="0" bottom="0" header="0" footer="0.1968503937007874"/>
  <pageSetup fitToHeight="0" fitToWidth="1" horizontalDpi="300" verticalDpi="300" orientation="landscape" paperSize="9" r:id="rId4"/>
  <headerFooter alignWithMargins="0">
    <oddFooter>&amp;CPágina &amp;P de &amp;N</oddFooter>
  </headerFooter>
  <drawing r:id="rId3"/>
  <legacyDrawing r:id="rId2"/>
  <oleObjects>
    <oleObject progId="Word.Document.8" shapeId="5521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6:N42"/>
  <sheetViews>
    <sheetView zoomScalePageLayoutView="0" workbookViewId="0" topLeftCell="A28">
      <selection activeCell="B38" sqref="B38:E38"/>
    </sheetView>
  </sheetViews>
  <sheetFormatPr defaultColWidth="9.140625" defaultRowHeight="12.75"/>
  <cols>
    <col min="1" max="1" width="5.7109375" style="0" customWidth="1"/>
    <col min="5" max="5" width="9.7109375" style="0" customWidth="1"/>
    <col min="6" max="6" width="11.00390625" style="0" customWidth="1"/>
    <col min="7" max="7" width="9.421875" style="0" customWidth="1"/>
    <col min="14" max="14" width="9.8515625" style="0" customWidth="1"/>
  </cols>
  <sheetData>
    <row r="5" ht="8.25" customHeight="1"/>
    <row r="6" spans="1:14" ht="14.25" customHeight="1">
      <c r="A6" s="520" t="s">
        <v>56</v>
      </c>
      <c r="B6" s="521"/>
      <c r="C6" s="521"/>
      <c r="D6" s="521"/>
      <c r="E6" s="521"/>
      <c r="F6" s="521"/>
      <c r="G6" s="521"/>
      <c r="H6" s="521"/>
      <c r="I6" s="521"/>
      <c r="J6" s="521"/>
      <c r="K6" s="522"/>
      <c r="L6" s="23" t="s">
        <v>341</v>
      </c>
      <c r="M6" s="531" t="str">
        <f>'PLANILHA CONCLUSÃO'!G19</f>
        <v>0312.659-59/2009</v>
      </c>
      <c r="N6" s="522"/>
    </row>
    <row r="7" spans="1:14" ht="17.25" customHeight="1">
      <c r="A7" s="520" t="str">
        <f>'PLANILHA CONCLUSÃO'!B16</f>
        <v>CENTRO DE EVENTOS</v>
      </c>
      <c r="B7" s="521"/>
      <c r="C7" s="521"/>
      <c r="D7" s="521"/>
      <c r="E7" s="522"/>
      <c r="F7" s="24" t="s">
        <v>342</v>
      </c>
      <c r="G7" s="135">
        <v>0.9092069205376858</v>
      </c>
      <c r="H7" s="510" t="s">
        <v>57</v>
      </c>
      <c r="I7" s="511"/>
      <c r="J7" s="502">
        <f>F32</f>
        <v>228429.15180595173</v>
      </c>
      <c r="K7" s="503"/>
      <c r="L7" s="24" t="s">
        <v>353</v>
      </c>
      <c r="M7" s="520" t="str">
        <f>'CRONOGRAMA GERAL'!M7:N7</f>
        <v>Agosto de 2013</v>
      </c>
      <c r="N7" s="522"/>
    </row>
    <row r="8" spans="1:14" ht="6" customHeight="1">
      <c r="A8" s="512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4"/>
    </row>
    <row r="9" spans="1:14" ht="22.5">
      <c r="A9" s="21" t="s">
        <v>343</v>
      </c>
      <c r="B9" s="515" t="s">
        <v>338</v>
      </c>
      <c r="C9" s="516"/>
      <c r="D9" s="516"/>
      <c r="E9" s="517"/>
      <c r="F9" s="22" t="s">
        <v>351</v>
      </c>
      <c r="G9" s="22" t="s">
        <v>350</v>
      </c>
      <c r="H9" s="21" t="s">
        <v>344</v>
      </c>
      <c r="I9" s="21" t="s">
        <v>345</v>
      </c>
      <c r="J9" s="21" t="s">
        <v>346</v>
      </c>
      <c r="K9" s="21" t="s">
        <v>347</v>
      </c>
      <c r="L9" s="21" t="s">
        <v>348</v>
      </c>
      <c r="M9" s="21" t="s">
        <v>349</v>
      </c>
      <c r="N9" s="21" t="s">
        <v>290</v>
      </c>
    </row>
    <row r="10" spans="1:14" ht="12.75">
      <c r="A10" s="494" t="str">
        <f>'PLANILHA CONCLUSÃO'!A22</f>
        <v>4.0</v>
      </c>
      <c r="B10" s="504" t="str">
        <f>'PLANILHA CONCLUSÃO'!D22</f>
        <v>ALVENARIA E DIVISÕES </v>
      </c>
      <c r="C10" s="505"/>
      <c r="D10" s="505"/>
      <c r="E10" s="506"/>
      <c r="F10" s="534">
        <f>'CRONOGRAMA GERAL'!F10*G$7</f>
        <v>13421.239974117723</v>
      </c>
      <c r="G10" s="23" t="s">
        <v>352</v>
      </c>
      <c r="H10" s="120">
        <v>0.5</v>
      </c>
      <c r="I10" s="120">
        <v>0.3</v>
      </c>
      <c r="J10" s="120">
        <v>0.2</v>
      </c>
      <c r="K10" s="120"/>
      <c r="L10" s="120"/>
      <c r="M10" s="120"/>
      <c r="N10" s="25">
        <f aca="true" t="shared" si="0" ref="N10:N32">SUM(H10:M10)</f>
        <v>1</v>
      </c>
    </row>
    <row r="11" spans="1:14" ht="12.75">
      <c r="A11" s="495"/>
      <c r="B11" s="507"/>
      <c r="C11" s="508"/>
      <c r="D11" s="508"/>
      <c r="E11" s="509"/>
      <c r="F11" s="535"/>
      <c r="G11" s="23" t="s">
        <v>339</v>
      </c>
      <c r="H11" s="49">
        <f>F10*H10</f>
        <v>6710.619987058862</v>
      </c>
      <c r="I11" s="49">
        <f>F10*I10</f>
        <v>4026.3719922353166</v>
      </c>
      <c r="J11" s="49">
        <f>F10*J10</f>
        <v>2684.247994823545</v>
      </c>
      <c r="K11" s="49">
        <f>F10*K10</f>
        <v>0</v>
      </c>
      <c r="L11" s="49"/>
      <c r="M11" s="49"/>
      <c r="N11" s="51">
        <f t="shared" si="0"/>
        <v>13421.239974117723</v>
      </c>
    </row>
    <row r="12" spans="1:14" ht="12.75">
      <c r="A12" s="494" t="str">
        <f>'PLANILHA CONCLUSÃO'!A27</f>
        <v>5.0</v>
      </c>
      <c r="B12" s="504" t="str">
        <f>'PLANILHA CONCLUSÃO'!D27</f>
        <v>REVESTIMENTO</v>
      </c>
      <c r="C12" s="505"/>
      <c r="D12" s="505"/>
      <c r="E12" s="506"/>
      <c r="F12" s="534">
        <f>'CRONOGRAMA GERAL'!F12*G$7</f>
        <v>33689.20368062816</v>
      </c>
      <c r="G12" s="23" t="s">
        <v>352</v>
      </c>
      <c r="H12" s="120">
        <v>0.3</v>
      </c>
      <c r="I12" s="120">
        <v>0.4</v>
      </c>
      <c r="J12" s="120">
        <v>0.3</v>
      </c>
      <c r="K12" s="120"/>
      <c r="L12" s="120"/>
      <c r="M12" s="120"/>
      <c r="N12" s="25">
        <f t="shared" si="0"/>
        <v>1</v>
      </c>
    </row>
    <row r="13" spans="1:14" ht="12.75">
      <c r="A13" s="495"/>
      <c r="B13" s="507"/>
      <c r="C13" s="508"/>
      <c r="D13" s="508"/>
      <c r="E13" s="509"/>
      <c r="F13" s="535"/>
      <c r="G13" s="23" t="s">
        <v>339</v>
      </c>
      <c r="H13" s="49">
        <f>F12*H12</f>
        <v>10106.761104188448</v>
      </c>
      <c r="I13" s="49">
        <f>F12*I12</f>
        <v>13475.681472251264</v>
      </c>
      <c r="J13" s="49">
        <f>F12*J12</f>
        <v>10106.761104188448</v>
      </c>
      <c r="K13" s="49">
        <f>F12*K12</f>
        <v>0</v>
      </c>
      <c r="L13" s="49">
        <f>F12*L12</f>
        <v>0</v>
      </c>
      <c r="M13" s="49">
        <f>(F12*M12)</f>
        <v>0</v>
      </c>
      <c r="N13" s="51">
        <f t="shared" si="0"/>
        <v>33689.20368062816</v>
      </c>
    </row>
    <row r="14" spans="1:14" ht="12.75">
      <c r="A14" s="494" t="str">
        <f>'PLANILHA CONCLUSÃO'!A36</f>
        <v>6.0</v>
      </c>
      <c r="B14" s="504" t="str">
        <f>'PLANILHA CONCLUSÃO'!D36</f>
        <v>PISOS</v>
      </c>
      <c r="C14" s="505"/>
      <c r="D14" s="505"/>
      <c r="E14" s="506"/>
      <c r="F14" s="534">
        <f>'CRONOGRAMA GERAL'!F14*G$7</f>
        <v>29675.670538937742</v>
      </c>
      <c r="G14" s="23" t="s">
        <v>352</v>
      </c>
      <c r="H14" s="120">
        <v>0</v>
      </c>
      <c r="I14" s="120">
        <v>0</v>
      </c>
      <c r="J14" s="120">
        <v>0</v>
      </c>
      <c r="K14" s="120">
        <v>0.3</v>
      </c>
      <c r="L14" s="120">
        <v>0.6</v>
      </c>
      <c r="M14" s="120">
        <v>0.1</v>
      </c>
      <c r="N14" s="25">
        <f t="shared" si="0"/>
        <v>0.9999999999999999</v>
      </c>
    </row>
    <row r="15" spans="1:14" ht="12.75">
      <c r="A15" s="495"/>
      <c r="B15" s="507"/>
      <c r="C15" s="508"/>
      <c r="D15" s="508"/>
      <c r="E15" s="509"/>
      <c r="F15" s="535"/>
      <c r="G15" s="23" t="s">
        <v>339</v>
      </c>
      <c r="H15" s="49">
        <f>F14*H14</f>
        <v>0</v>
      </c>
      <c r="I15" s="49">
        <f>F14*I14</f>
        <v>0</v>
      </c>
      <c r="J15" s="49">
        <f>F14*J14</f>
        <v>0</v>
      </c>
      <c r="K15" s="49">
        <f>F14*K14</f>
        <v>8902.701161681322</v>
      </c>
      <c r="L15" s="49">
        <f>F14*L14</f>
        <v>17805.402323362643</v>
      </c>
      <c r="M15" s="49">
        <f>F14*M14</f>
        <v>2967.5670538937743</v>
      </c>
      <c r="N15" s="51">
        <f t="shared" si="0"/>
        <v>29675.67053893774</v>
      </c>
    </row>
    <row r="16" spans="1:14" ht="12.75">
      <c r="A16" s="494" t="str">
        <f>'PLANILHA CONCLUSÃO'!A45</f>
        <v>7.0</v>
      </c>
      <c r="B16" s="504" t="str">
        <f>'PLANILHA CONCLUSÃO'!D45</f>
        <v>ESQUADRIAS</v>
      </c>
      <c r="C16" s="505"/>
      <c r="D16" s="505"/>
      <c r="E16" s="506"/>
      <c r="F16" s="534">
        <f>'CRONOGRAMA GERAL'!F16*G$7</f>
        <v>31992.75062579248</v>
      </c>
      <c r="G16" s="23" t="s">
        <v>352</v>
      </c>
      <c r="H16" s="120">
        <v>0</v>
      </c>
      <c r="I16" s="120">
        <v>0</v>
      </c>
      <c r="J16" s="120">
        <v>0.3</v>
      </c>
      <c r="K16" s="120">
        <v>0.3</v>
      </c>
      <c r="L16" s="120">
        <v>0.2</v>
      </c>
      <c r="M16" s="120">
        <v>0.2</v>
      </c>
      <c r="N16" s="25">
        <f t="shared" si="0"/>
        <v>1</v>
      </c>
    </row>
    <row r="17" spans="1:14" ht="12.75">
      <c r="A17" s="495"/>
      <c r="B17" s="507"/>
      <c r="C17" s="508"/>
      <c r="D17" s="508"/>
      <c r="E17" s="509"/>
      <c r="F17" s="535"/>
      <c r="G17" s="23" t="s">
        <v>339</v>
      </c>
      <c r="H17" s="49">
        <f>F16*H16</f>
        <v>0</v>
      </c>
      <c r="I17" s="49">
        <f>F16*I16</f>
        <v>0</v>
      </c>
      <c r="J17" s="49">
        <f>F16*J16</f>
        <v>9597.825187737744</v>
      </c>
      <c r="K17" s="49">
        <f>F16*K16</f>
        <v>9597.825187737744</v>
      </c>
      <c r="L17" s="49">
        <f>F16*L16</f>
        <v>6398.5501251584965</v>
      </c>
      <c r="M17" s="49">
        <f>F16*M16</f>
        <v>6398.5501251584965</v>
      </c>
      <c r="N17" s="51">
        <f t="shared" si="0"/>
        <v>31992.750625792483</v>
      </c>
    </row>
    <row r="18" spans="1:14" ht="12.75">
      <c r="A18" s="494" t="str">
        <f>'PLANILHA CONCLUSÃO'!A53</f>
        <v>8.0</v>
      </c>
      <c r="B18" s="504" t="str">
        <f>'PLANILHA CONCLUSÃO'!D53</f>
        <v>COBERTURA - ESTRUTURA E TELHA</v>
      </c>
      <c r="C18" s="505"/>
      <c r="D18" s="505"/>
      <c r="E18" s="506"/>
      <c r="F18" s="534">
        <f>'CRONOGRAMA GERAL'!F18*G$7</f>
        <v>71370.60708902297</v>
      </c>
      <c r="G18" s="23" t="s">
        <v>352</v>
      </c>
      <c r="H18" s="120">
        <v>0</v>
      </c>
      <c r="I18" s="120">
        <v>0</v>
      </c>
      <c r="J18" s="120">
        <v>0</v>
      </c>
      <c r="K18" s="120">
        <v>0.55</v>
      </c>
      <c r="L18" s="120">
        <v>0.4</v>
      </c>
      <c r="M18" s="120">
        <v>0.05</v>
      </c>
      <c r="N18" s="25">
        <f t="shared" si="0"/>
        <v>1</v>
      </c>
    </row>
    <row r="19" spans="1:14" ht="12.75">
      <c r="A19" s="495"/>
      <c r="B19" s="507"/>
      <c r="C19" s="508"/>
      <c r="D19" s="508"/>
      <c r="E19" s="509"/>
      <c r="F19" s="535"/>
      <c r="G19" s="23" t="s">
        <v>339</v>
      </c>
      <c r="H19" s="49">
        <f>F18*H18</f>
        <v>0</v>
      </c>
      <c r="I19" s="49">
        <f>F18*I18</f>
        <v>0</v>
      </c>
      <c r="J19" s="49">
        <f>F18*J18</f>
        <v>0</v>
      </c>
      <c r="K19" s="49">
        <f>F18*K18</f>
        <v>39253.83389896264</v>
      </c>
      <c r="L19" s="49">
        <f>F18*L18</f>
        <v>28548.24283560919</v>
      </c>
      <c r="M19" s="49">
        <f>F18*M18</f>
        <v>3568.530354451149</v>
      </c>
      <c r="N19" s="51">
        <f t="shared" si="0"/>
        <v>71370.60708902299</v>
      </c>
    </row>
    <row r="20" spans="1:14" ht="12.75">
      <c r="A20" s="494" t="str">
        <f>'PLANILHA CONCLUSÃO'!A57</f>
        <v>9.0</v>
      </c>
      <c r="B20" s="504" t="str">
        <f>'PLANILHA CONCLUSÃO'!D57</f>
        <v>INSTALAÇÕES ÁGUA FRIA E ESGOTO</v>
      </c>
      <c r="C20" s="505"/>
      <c r="D20" s="505"/>
      <c r="E20" s="506"/>
      <c r="F20" s="534">
        <f>'CRONOGRAMA GERAL'!F20*G$7</f>
        <v>4246.713835435108</v>
      </c>
      <c r="G20" s="23" t="s">
        <v>352</v>
      </c>
      <c r="H20" s="120">
        <v>0.1</v>
      </c>
      <c r="I20" s="120">
        <v>0.2</v>
      </c>
      <c r="J20" s="120">
        <v>0.2</v>
      </c>
      <c r="K20" s="120"/>
      <c r="L20" s="120"/>
      <c r="M20" s="120">
        <v>0.5</v>
      </c>
      <c r="N20" s="25">
        <f t="shared" si="0"/>
        <v>1</v>
      </c>
    </row>
    <row r="21" spans="1:14" ht="12.75">
      <c r="A21" s="495"/>
      <c r="B21" s="507"/>
      <c r="C21" s="508"/>
      <c r="D21" s="508"/>
      <c r="E21" s="509"/>
      <c r="F21" s="535"/>
      <c r="G21" s="23" t="s">
        <v>339</v>
      </c>
      <c r="H21" s="49">
        <f>F20*H20</f>
        <v>424.67138354351084</v>
      </c>
      <c r="I21" s="49">
        <f>F20*I20</f>
        <v>849.3427670870217</v>
      </c>
      <c r="J21" s="49">
        <f>F20*J20</f>
        <v>849.3427670870217</v>
      </c>
      <c r="K21" s="49">
        <f>F20*K20</f>
        <v>0</v>
      </c>
      <c r="L21" s="49">
        <f>F20*L20</f>
        <v>0</v>
      </c>
      <c r="M21" s="49">
        <f>F20*M20</f>
        <v>2123.356917717554</v>
      </c>
      <c r="N21" s="51">
        <f t="shared" si="0"/>
        <v>4246.713835435108</v>
      </c>
    </row>
    <row r="22" spans="1:14" ht="12.75">
      <c r="A22" s="494" t="str">
        <f>'PLANILHA CONCLUSÃO'!A72</f>
        <v>10.0</v>
      </c>
      <c r="B22" s="504" t="str">
        <f>'PLANILHA CONCLUSÃO'!D72</f>
        <v>INSTALAÇÕES SANITÁRIAS </v>
      </c>
      <c r="C22" s="505"/>
      <c r="D22" s="505"/>
      <c r="E22" s="506"/>
      <c r="F22" s="534">
        <f>'CRONOGRAMA GERAL'!F22*G$7</f>
        <v>3555.6950768187426</v>
      </c>
      <c r="G22" s="23" t="s">
        <v>352</v>
      </c>
      <c r="H22" s="120">
        <v>0.1</v>
      </c>
      <c r="I22" s="120">
        <v>0.2</v>
      </c>
      <c r="J22" s="120">
        <v>0.2</v>
      </c>
      <c r="K22" s="120"/>
      <c r="L22" s="120"/>
      <c r="M22" s="120">
        <v>0.5</v>
      </c>
      <c r="N22" s="25">
        <f t="shared" si="0"/>
        <v>1</v>
      </c>
    </row>
    <row r="23" spans="1:14" ht="12.75">
      <c r="A23" s="495"/>
      <c r="B23" s="507"/>
      <c r="C23" s="508"/>
      <c r="D23" s="508"/>
      <c r="E23" s="509"/>
      <c r="F23" s="535"/>
      <c r="G23" s="23" t="s">
        <v>339</v>
      </c>
      <c r="H23" s="49">
        <f>F22*H22</f>
        <v>355.56950768187426</v>
      </c>
      <c r="I23" s="49">
        <f>F22*I22</f>
        <v>711.1390153637485</v>
      </c>
      <c r="J23" s="49">
        <f>F22*J22</f>
        <v>711.1390153637485</v>
      </c>
      <c r="K23" s="49">
        <f>F22*K22</f>
        <v>0</v>
      </c>
      <c r="L23" s="49">
        <f>F22*L22</f>
        <v>0</v>
      </c>
      <c r="M23" s="49">
        <f>F22*M22</f>
        <v>1777.8475384093713</v>
      </c>
      <c r="N23" s="51">
        <f t="shared" si="0"/>
        <v>3555.6950768187426</v>
      </c>
    </row>
    <row r="24" spans="1:14" ht="12.75">
      <c r="A24" s="494" t="str">
        <f>'PLANILHA CONCLUSÃO'!A88</f>
        <v>11.0</v>
      </c>
      <c r="B24" s="504" t="str">
        <f>'PLANILHA CONCLUSÃO'!D88</f>
        <v>METAIS E PEÇAS SANITÁRIAS</v>
      </c>
      <c r="C24" s="505"/>
      <c r="D24" s="505"/>
      <c r="E24" s="506"/>
      <c r="F24" s="534">
        <f>'CRONOGRAMA GERAL'!F24*G$7</f>
        <v>6255.878811765412</v>
      </c>
      <c r="G24" s="23" t="s">
        <v>352</v>
      </c>
      <c r="H24" s="120">
        <v>0</v>
      </c>
      <c r="I24" s="120">
        <v>0</v>
      </c>
      <c r="J24" s="120">
        <v>0</v>
      </c>
      <c r="K24" s="120">
        <v>0</v>
      </c>
      <c r="L24" s="120"/>
      <c r="M24" s="120">
        <v>1</v>
      </c>
      <c r="N24" s="25">
        <f t="shared" si="0"/>
        <v>1</v>
      </c>
    </row>
    <row r="25" spans="1:14" ht="12.75">
      <c r="A25" s="495"/>
      <c r="B25" s="507"/>
      <c r="C25" s="508"/>
      <c r="D25" s="508"/>
      <c r="E25" s="509"/>
      <c r="F25" s="535"/>
      <c r="G25" s="23" t="s">
        <v>339</v>
      </c>
      <c r="H25" s="49">
        <f>F24*H24</f>
        <v>0</v>
      </c>
      <c r="I25" s="49">
        <f>F24*I24</f>
        <v>0</v>
      </c>
      <c r="J25" s="49">
        <f>F24*J24</f>
        <v>0</v>
      </c>
      <c r="K25" s="49">
        <f>F24*K24</f>
        <v>0</v>
      </c>
      <c r="L25" s="49">
        <f>F24*L24</f>
        <v>0</v>
      </c>
      <c r="M25" s="49">
        <f>F24*M24</f>
        <v>6255.878811765412</v>
      </c>
      <c r="N25" s="51">
        <f t="shared" si="0"/>
        <v>6255.878811765412</v>
      </c>
    </row>
    <row r="26" spans="1:14" ht="12.75">
      <c r="A26" s="494" t="str">
        <f>'PLANILHA CONCLUSÃO'!A97</f>
        <v>12.0</v>
      </c>
      <c r="B26" s="504" t="str">
        <f>'PLANILHA CONCLUSÃO'!D97</f>
        <v>LIGAÇÃO À REDE DE ESGOTO</v>
      </c>
      <c r="C26" s="505"/>
      <c r="D26" s="505"/>
      <c r="E26" s="506"/>
      <c r="F26" s="534">
        <f>'CRONOGRAMA GERAL'!F26*G$7</f>
        <v>722.8606495531609</v>
      </c>
      <c r="G26" s="23" t="s">
        <v>352</v>
      </c>
      <c r="H26" s="120">
        <v>0</v>
      </c>
      <c r="I26" s="120">
        <v>0</v>
      </c>
      <c r="J26" s="120">
        <v>0</v>
      </c>
      <c r="K26" s="120">
        <v>0</v>
      </c>
      <c r="L26" s="120"/>
      <c r="M26" s="120">
        <v>1</v>
      </c>
      <c r="N26" s="25">
        <f t="shared" si="0"/>
        <v>1</v>
      </c>
    </row>
    <row r="27" spans="1:14" ht="12.75">
      <c r="A27" s="495"/>
      <c r="B27" s="507"/>
      <c r="C27" s="508"/>
      <c r="D27" s="508"/>
      <c r="E27" s="509"/>
      <c r="F27" s="535"/>
      <c r="G27" s="23" t="s">
        <v>339</v>
      </c>
      <c r="H27" s="49">
        <f>F26*H26</f>
        <v>0</v>
      </c>
      <c r="I27" s="49">
        <f>F26*I26</f>
        <v>0</v>
      </c>
      <c r="J27" s="49">
        <f>F26*J26</f>
        <v>0</v>
      </c>
      <c r="K27" s="49">
        <f>F26*K26</f>
        <v>0</v>
      </c>
      <c r="L27" s="49">
        <f>F26*L26</f>
        <v>0</v>
      </c>
      <c r="M27" s="49">
        <f>F26*M26</f>
        <v>722.8606495531609</v>
      </c>
      <c r="N27" s="51">
        <f t="shared" si="0"/>
        <v>722.8606495531609</v>
      </c>
    </row>
    <row r="28" spans="1:14" ht="12.75">
      <c r="A28" s="494" t="str">
        <f>'PLANILHA CONCLUSÃO'!A99</f>
        <v>13.0</v>
      </c>
      <c r="B28" s="504" t="str">
        <f>'PLANILHA CONCLUSÃO'!D99</f>
        <v>INSTALAÇÕES ELÉTRICAS </v>
      </c>
      <c r="C28" s="505"/>
      <c r="D28" s="505"/>
      <c r="E28" s="506"/>
      <c r="F28" s="534">
        <f>'CRONOGRAMA GERAL'!F28*G$7</f>
        <v>8250.460598360252</v>
      </c>
      <c r="G28" s="23" t="s">
        <v>352</v>
      </c>
      <c r="H28" s="120">
        <v>0.1</v>
      </c>
      <c r="I28" s="120">
        <v>0.2</v>
      </c>
      <c r="J28" s="120">
        <v>0.2</v>
      </c>
      <c r="K28" s="120">
        <v>0</v>
      </c>
      <c r="L28" s="120">
        <v>0</v>
      </c>
      <c r="M28" s="120">
        <v>0.5</v>
      </c>
      <c r="N28" s="25">
        <f t="shared" si="0"/>
        <v>1</v>
      </c>
    </row>
    <row r="29" spans="1:14" ht="12.75">
      <c r="A29" s="495"/>
      <c r="B29" s="507"/>
      <c r="C29" s="508"/>
      <c r="D29" s="508"/>
      <c r="E29" s="509"/>
      <c r="F29" s="535"/>
      <c r="G29" s="23" t="s">
        <v>339</v>
      </c>
      <c r="H29" s="49">
        <f>F28*H28</f>
        <v>825.0460598360253</v>
      </c>
      <c r="I29" s="49">
        <f>F28*I28</f>
        <v>1650.0921196720506</v>
      </c>
      <c r="J29" s="49">
        <f>F28*J28</f>
        <v>1650.0921196720506</v>
      </c>
      <c r="K29" s="49">
        <f>F28*K28</f>
        <v>0</v>
      </c>
      <c r="L29" s="49">
        <f>F28*L28</f>
        <v>0</v>
      </c>
      <c r="M29" s="49">
        <f>F28*M28</f>
        <v>4125.230299180126</v>
      </c>
      <c r="N29" s="51">
        <f t="shared" si="0"/>
        <v>8250.460598360252</v>
      </c>
    </row>
    <row r="30" spans="1:14" ht="12.75">
      <c r="A30" s="494" t="str">
        <f>'PLANILHA CONCLUSÃO'!A127</f>
        <v>14.0</v>
      </c>
      <c r="B30" s="504" t="str">
        <f>'PLANILHA CONCLUSÃO'!D127</f>
        <v>SERVIÇOS DIVERSOS</v>
      </c>
      <c r="C30" s="505"/>
      <c r="D30" s="505"/>
      <c r="E30" s="506"/>
      <c r="F30" s="534">
        <f>'CRONOGRAMA GERAL'!F30*G$7</f>
        <v>25248.070925519965</v>
      </c>
      <c r="G30" s="23" t="s">
        <v>352</v>
      </c>
      <c r="H30" s="120">
        <v>0</v>
      </c>
      <c r="I30" s="120">
        <v>0</v>
      </c>
      <c r="J30" s="120">
        <v>0</v>
      </c>
      <c r="K30" s="120">
        <v>0</v>
      </c>
      <c r="L30" s="120">
        <v>0.6</v>
      </c>
      <c r="M30" s="120">
        <v>0.4</v>
      </c>
      <c r="N30" s="25">
        <f t="shared" si="0"/>
        <v>1</v>
      </c>
    </row>
    <row r="31" spans="1:14" ht="12.75">
      <c r="A31" s="495"/>
      <c r="B31" s="507"/>
      <c r="C31" s="508"/>
      <c r="D31" s="508"/>
      <c r="E31" s="509"/>
      <c r="F31" s="535"/>
      <c r="G31" s="23" t="s">
        <v>339</v>
      </c>
      <c r="H31" s="49">
        <f>F30*H30</f>
        <v>0</v>
      </c>
      <c r="I31" s="49">
        <f>F30*I30</f>
        <v>0</v>
      </c>
      <c r="J31" s="49">
        <f>F30*J30</f>
        <v>0</v>
      </c>
      <c r="K31" s="49">
        <f>F30*K30</f>
        <v>0</v>
      </c>
      <c r="L31" s="49">
        <f>F30*L30</f>
        <v>15148.842555311978</v>
      </c>
      <c r="M31" s="49">
        <f>F30*M30</f>
        <v>10099.228370207988</v>
      </c>
      <c r="N31" s="51">
        <f t="shared" si="0"/>
        <v>25248.070925519965</v>
      </c>
    </row>
    <row r="32" spans="1:14" ht="18.75" customHeight="1">
      <c r="A32" s="494"/>
      <c r="B32" s="496" t="s">
        <v>290</v>
      </c>
      <c r="C32" s="497"/>
      <c r="D32" s="497"/>
      <c r="E32" s="498"/>
      <c r="F32" s="532">
        <f>F10+F12+F14+F16+F18+F20+F22+F24+F26+F28+F30</f>
        <v>228429.15180595173</v>
      </c>
      <c r="G32" s="23" t="s">
        <v>352</v>
      </c>
      <c r="H32" s="120">
        <f>H33/F32</f>
        <v>0.08064937376276121</v>
      </c>
      <c r="I32" s="120">
        <f>I33/F32</f>
        <v>0.09067418585962518</v>
      </c>
      <c r="J32" s="120">
        <f>J33/F32</f>
        <v>0.11206716825100765</v>
      </c>
      <c r="K32" s="120">
        <f>K33/F32</f>
        <v>0.2528327045465872</v>
      </c>
      <c r="L32" s="120">
        <f>L33/F32</f>
        <v>0.2972520683223635</v>
      </c>
      <c r="M32" s="120">
        <f>M33/F32</f>
        <v>0.16652449925765525</v>
      </c>
      <c r="N32" s="25">
        <f t="shared" si="0"/>
        <v>1</v>
      </c>
    </row>
    <row r="33" spans="1:14" ht="18" customHeight="1">
      <c r="A33" s="495"/>
      <c r="B33" s="499"/>
      <c r="C33" s="500"/>
      <c r="D33" s="500"/>
      <c r="E33" s="501"/>
      <c r="F33" s="533"/>
      <c r="G33" s="23" t="s">
        <v>339</v>
      </c>
      <c r="H33" s="49">
        <f aca="true" t="shared" si="1" ref="H33:M33">H11+H13+H15+H17+H19+H21+H23+H25+H27+H29+H31</f>
        <v>18422.66804230872</v>
      </c>
      <c r="I33" s="49">
        <f t="shared" si="1"/>
        <v>20712.627366609402</v>
      </c>
      <c r="J33" s="49">
        <f t="shared" si="1"/>
        <v>25599.40818887256</v>
      </c>
      <c r="K33" s="49">
        <f t="shared" si="1"/>
        <v>57754.36024838171</v>
      </c>
      <c r="L33" s="49">
        <f t="shared" si="1"/>
        <v>67901.0378394423</v>
      </c>
      <c r="M33" s="49">
        <f t="shared" si="1"/>
        <v>38039.05012033703</v>
      </c>
      <c r="N33" s="51">
        <f>SUM(H33:M33)</f>
        <v>228429.1518059517</v>
      </c>
    </row>
    <row r="34" spans="1:14" ht="12.75">
      <c r="A34" s="14" t="s">
        <v>369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ht="15.75" customHeight="1"/>
    <row r="36" spans="2:9" ht="12.75">
      <c r="B36" s="493" t="str">
        <f>'CRONOGRAMA GERAL'!B36:G36</f>
        <v>RÔMULO FERNANDES DE SOUSA</v>
      </c>
      <c r="C36" s="493"/>
      <c r="D36" s="493"/>
      <c r="E36" s="493"/>
      <c r="F36" s="493"/>
      <c r="G36" s="493"/>
      <c r="H36" s="5"/>
      <c r="I36" s="5"/>
    </row>
    <row r="37" spans="2:12" ht="12.75" customHeight="1">
      <c r="B37" s="493" t="str">
        <f>'CRONOGRAMA GERAL'!B37:G37</f>
        <v>Engº Civil CREA: ES-031073/D</v>
      </c>
      <c r="C37" s="493"/>
      <c r="D37" s="493"/>
      <c r="E37" s="493"/>
      <c r="F37" s="493"/>
      <c r="G37" s="493"/>
      <c r="H37" s="29"/>
      <c r="I37" s="29"/>
      <c r="J37" s="28"/>
      <c r="K37" s="28"/>
      <c r="L37" s="28"/>
    </row>
    <row r="38" spans="2:12" ht="12.75">
      <c r="B38" s="530"/>
      <c r="C38" s="530"/>
      <c r="D38" s="530"/>
      <c r="E38" s="530"/>
      <c r="F38" s="119"/>
      <c r="G38" s="119"/>
      <c r="H38" s="119"/>
      <c r="I38" s="119"/>
      <c r="J38" s="27"/>
      <c r="K38" s="27"/>
      <c r="L38" s="27"/>
    </row>
    <row r="39" spans="3:7" ht="12.75">
      <c r="C39" s="529"/>
      <c r="D39" s="529"/>
      <c r="E39" s="529"/>
      <c r="F39" s="529"/>
      <c r="G39" s="529"/>
    </row>
    <row r="40" ht="12.75">
      <c r="N40" s="12"/>
    </row>
    <row r="41" ht="12.75">
      <c r="N41" s="12"/>
    </row>
    <row r="42" ht="12.75">
      <c r="N42" s="12"/>
    </row>
  </sheetData>
  <sheetProtection/>
  <mergeCells count="48">
    <mergeCell ref="B20:E21"/>
    <mergeCell ref="B14:E15"/>
    <mergeCell ref="B16:E17"/>
    <mergeCell ref="B18:E19"/>
    <mergeCell ref="F30:F31"/>
    <mergeCell ref="F32:F33"/>
    <mergeCell ref="F24:F25"/>
    <mergeCell ref="F20:F21"/>
    <mergeCell ref="A22:A23"/>
    <mergeCell ref="B22:E23"/>
    <mergeCell ref="F22:F23"/>
    <mergeCell ref="B38:E38"/>
    <mergeCell ref="M6:N6"/>
    <mergeCell ref="M7:N7"/>
    <mergeCell ref="A6:K6"/>
    <mergeCell ref="F28:F29"/>
    <mergeCell ref="F16:F17"/>
    <mergeCell ref="F18:F19"/>
    <mergeCell ref="F10:F11"/>
    <mergeCell ref="F12:F13"/>
    <mergeCell ref="B12:E13"/>
    <mergeCell ref="F14:F15"/>
    <mergeCell ref="C39:G39"/>
    <mergeCell ref="A12:A13"/>
    <mergeCell ref="A14:A15"/>
    <mergeCell ref="A16:A17"/>
    <mergeCell ref="A18:A19"/>
    <mergeCell ref="A20:A21"/>
    <mergeCell ref="A24:A25"/>
    <mergeCell ref="B24:E25"/>
    <mergeCell ref="H7:I7"/>
    <mergeCell ref="A8:N8"/>
    <mergeCell ref="B9:E9"/>
    <mergeCell ref="A26:A27"/>
    <mergeCell ref="F26:F27"/>
    <mergeCell ref="A7:E7"/>
    <mergeCell ref="A10:A11"/>
    <mergeCell ref="B10:E11"/>
    <mergeCell ref="B36:G36"/>
    <mergeCell ref="B37:G37"/>
    <mergeCell ref="A32:A33"/>
    <mergeCell ref="B32:E33"/>
    <mergeCell ref="J7:K7"/>
    <mergeCell ref="A28:A29"/>
    <mergeCell ref="A30:A31"/>
    <mergeCell ref="B26:E27"/>
    <mergeCell ref="B28:E29"/>
    <mergeCell ref="B30:E31"/>
  </mergeCells>
  <printOptions/>
  <pageMargins left="1.062992125984252" right="0.7874015748031497" top="0.2755905511811024" bottom="0.1968503937007874" header="0.11811023622047245" footer="0.31496062992125984"/>
  <pageSetup horizontalDpi="300" verticalDpi="300" orientation="landscape" paperSize="9" scale="95" r:id="rId4"/>
  <drawing r:id="rId3"/>
  <legacyDrawing r:id="rId2"/>
  <oleObjects>
    <oleObject progId="Word.Document.8" shapeId="57204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6:N40"/>
  <sheetViews>
    <sheetView zoomScalePageLayoutView="0" workbookViewId="0" topLeftCell="A22">
      <selection activeCell="B37" sqref="B37:G37"/>
    </sheetView>
  </sheetViews>
  <sheetFormatPr defaultColWidth="9.140625" defaultRowHeight="12.75"/>
  <cols>
    <col min="1" max="1" width="5.7109375" style="0" customWidth="1"/>
    <col min="5" max="5" width="9.7109375" style="0" customWidth="1"/>
    <col min="6" max="6" width="11.00390625" style="0" customWidth="1"/>
    <col min="7" max="7" width="9.421875" style="0" customWidth="1"/>
    <col min="14" max="14" width="9.8515625" style="0" customWidth="1"/>
  </cols>
  <sheetData>
    <row r="5" ht="8.25" customHeight="1"/>
    <row r="6" spans="1:14" ht="18.75" customHeight="1">
      <c r="A6" s="520" t="s">
        <v>58</v>
      </c>
      <c r="B6" s="521"/>
      <c r="C6" s="521"/>
      <c r="D6" s="521"/>
      <c r="E6" s="521"/>
      <c r="F6" s="521"/>
      <c r="G6" s="521"/>
      <c r="H6" s="521"/>
      <c r="I6" s="521"/>
      <c r="J6" s="521"/>
      <c r="K6" s="522"/>
      <c r="L6" s="23" t="s">
        <v>341</v>
      </c>
      <c r="M6" s="531" t="str">
        <f>'PLANILHA CONCLUSÃO'!G19</f>
        <v>0312.659-59/2009</v>
      </c>
      <c r="N6" s="522"/>
    </row>
    <row r="7" spans="1:14" ht="24.75" customHeight="1">
      <c r="A7" s="520" t="str">
        <f>'PLANILHA CONCLUSÃO'!B16</f>
        <v>CENTRO DE EVENTOS</v>
      </c>
      <c r="B7" s="521"/>
      <c r="C7" s="521"/>
      <c r="D7" s="521"/>
      <c r="E7" s="522"/>
      <c r="F7" s="24" t="s">
        <v>342</v>
      </c>
      <c r="G7" s="135">
        <v>0.09079307946231417</v>
      </c>
      <c r="H7" s="510" t="s">
        <v>59</v>
      </c>
      <c r="I7" s="511"/>
      <c r="J7" s="502">
        <f>F32</f>
        <v>22810.85379240375</v>
      </c>
      <c r="K7" s="503"/>
      <c r="L7" s="24" t="s">
        <v>353</v>
      </c>
      <c r="M7" s="325" t="str">
        <f>'CRONOGRAMA REPASSE'!M7:N7</f>
        <v>Agosto de 2013</v>
      </c>
      <c r="N7" s="326"/>
    </row>
    <row r="8" spans="1:14" ht="6" customHeight="1">
      <c r="A8" s="512"/>
      <c r="B8" s="513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4"/>
    </row>
    <row r="9" spans="1:14" ht="22.5">
      <c r="A9" s="21" t="s">
        <v>343</v>
      </c>
      <c r="B9" s="515" t="s">
        <v>338</v>
      </c>
      <c r="C9" s="516"/>
      <c r="D9" s="516"/>
      <c r="E9" s="517"/>
      <c r="F9" s="22" t="s">
        <v>351</v>
      </c>
      <c r="G9" s="22" t="s">
        <v>350</v>
      </c>
      <c r="H9" s="21" t="s">
        <v>344</v>
      </c>
      <c r="I9" s="21" t="s">
        <v>345</v>
      </c>
      <c r="J9" s="21" t="s">
        <v>346</v>
      </c>
      <c r="K9" s="21" t="s">
        <v>347</v>
      </c>
      <c r="L9" s="21" t="s">
        <v>348</v>
      </c>
      <c r="M9" s="21" t="s">
        <v>349</v>
      </c>
      <c r="N9" s="21" t="s">
        <v>290</v>
      </c>
    </row>
    <row r="10" spans="1:14" ht="12.75">
      <c r="A10" s="494" t="str">
        <f>'PLANILHA CONCLUSÃO'!A22</f>
        <v>4.0</v>
      </c>
      <c r="B10" s="504" t="str">
        <f>'PLANILHA CONCLUSÃO'!D22</f>
        <v>ALVENARIA E DIVISÕES </v>
      </c>
      <c r="C10" s="505"/>
      <c r="D10" s="505"/>
      <c r="E10" s="506"/>
      <c r="F10" s="534">
        <f>'CRONOGRAMA GERAL'!F10*G$7</f>
        <v>1340.240246667095</v>
      </c>
      <c r="G10" s="23" t="s">
        <v>352</v>
      </c>
      <c r="H10" s="120">
        <v>0.5</v>
      </c>
      <c r="I10" s="120">
        <v>0.3</v>
      </c>
      <c r="J10" s="120">
        <v>0.2</v>
      </c>
      <c r="K10" s="120"/>
      <c r="L10" s="120"/>
      <c r="M10" s="120"/>
      <c r="N10" s="25">
        <f aca="true" t="shared" si="0" ref="N10:N33">SUM(H10:M10)</f>
        <v>1</v>
      </c>
    </row>
    <row r="11" spans="1:14" ht="12.75">
      <c r="A11" s="495"/>
      <c r="B11" s="507"/>
      <c r="C11" s="508"/>
      <c r="D11" s="508"/>
      <c r="E11" s="509"/>
      <c r="F11" s="535"/>
      <c r="G11" s="23" t="s">
        <v>339</v>
      </c>
      <c r="H11" s="49">
        <f>F10*H10</f>
        <v>670.1201233335476</v>
      </c>
      <c r="I11" s="49">
        <f>F10*I10</f>
        <v>402.0720740001285</v>
      </c>
      <c r="J11" s="49">
        <f>F10*J10</f>
        <v>268.04804933341904</v>
      </c>
      <c r="K11" s="49">
        <f>F10*K10</f>
        <v>0</v>
      </c>
      <c r="L11" s="49"/>
      <c r="M11" s="49"/>
      <c r="N11" s="51">
        <f t="shared" si="0"/>
        <v>1340.240246667095</v>
      </c>
    </row>
    <row r="12" spans="1:14" ht="12.75">
      <c r="A12" s="494" t="str">
        <f>'PLANILHA CONCLUSÃO'!A27</f>
        <v>5.0</v>
      </c>
      <c r="B12" s="504" t="str">
        <f>'PLANILHA CONCLUSÃO'!D27</f>
        <v>REVESTIMENTO</v>
      </c>
      <c r="C12" s="505"/>
      <c r="D12" s="505"/>
      <c r="E12" s="506"/>
      <c r="F12" s="534">
        <f>'CRONOGRAMA GERAL'!F12*G$7</f>
        <v>3364.191888232089</v>
      </c>
      <c r="G12" s="23" t="s">
        <v>352</v>
      </c>
      <c r="H12" s="120">
        <v>0.3</v>
      </c>
      <c r="I12" s="120">
        <v>0.4</v>
      </c>
      <c r="J12" s="120">
        <v>0.3</v>
      </c>
      <c r="K12" s="120"/>
      <c r="L12" s="120"/>
      <c r="M12" s="120"/>
      <c r="N12" s="25">
        <f t="shared" si="0"/>
        <v>1</v>
      </c>
    </row>
    <row r="13" spans="1:14" ht="12.75">
      <c r="A13" s="495"/>
      <c r="B13" s="507"/>
      <c r="C13" s="508"/>
      <c r="D13" s="508"/>
      <c r="E13" s="509"/>
      <c r="F13" s="535"/>
      <c r="G13" s="23" t="s">
        <v>339</v>
      </c>
      <c r="H13" s="49">
        <f>F12*H12</f>
        <v>1009.2575664696266</v>
      </c>
      <c r="I13" s="49">
        <f>F12*I12</f>
        <v>1345.6767552928357</v>
      </c>
      <c r="J13" s="49">
        <f>F12*J12</f>
        <v>1009.2575664696266</v>
      </c>
      <c r="K13" s="49">
        <f>F12*K12</f>
        <v>0</v>
      </c>
      <c r="L13" s="49">
        <f>F12*L12</f>
        <v>0</v>
      </c>
      <c r="M13" s="49">
        <f>(F12*M12)</f>
        <v>0</v>
      </c>
      <c r="N13" s="51">
        <f t="shared" si="0"/>
        <v>3364.191888232089</v>
      </c>
    </row>
    <row r="14" spans="1:14" ht="12.75">
      <c r="A14" s="494" t="str">
        <f>'PLANILHA CONCLUSÃO'!A36</f>
        <v>6.0</v>
      </c>
      <c r="B14" s="504" t="str">
        <f>'PLANILHA CONCLUSÃO'!D36</f>
        <v>PISOS</v>
      </c>
      <c r="C14" s="505"/>
      <c r="D14" s="505"/>
      <c r="E14" s="506"/>
      <c r="F14" s="534">
        <f>'CRONOGRAMA GERAL'!F14*G$7</f>
        <v>2963.4018972775207</v>
      </c>
      <c r="G14" s="23" t="s">
        <v>352</v>
      </c>
      <c r="H14" s="120">
        <v>0</v>
      </c>
      <c r="I14" s="120">
        <v>0</v>
      </c>
      <c r="J14" s="120">
        <v>0</v>
      </c>
      <c r="K14" s="120">
        <v>0.3</v>
      </c>
      <c r="L14" s="120">
        <v>0.6</v>
      </c>
      <c r="M14" s="120">
        <v>0.1</v>
      </c>
      <c r="N14" s="25">
        <f t="shared" si="0"/>
        <v>0.9999999999999999</v>
      </c>
    </row>
    <row r="15" spans="1:14" ht="12.75">
      <c r="A15" s="495"/>
      <c r="B15" s="507"/>
      <c r="C15" s="508"/>
      <c r="D15" s="508"/>
      <c r="E15" s="509"/>
      <c r="F15" s="535"/>
      <c r="G15" s="23" t="s">
        <v>339</v>
      </c>
      <c r="H15" s="49">
        <f>F14*H14</f>
        <v>0</v>
      </c>
      <c r="I15" s="49">
        <f>F14*I14</f>
        <v>0</v>
      </c>
      <c r="J15" s="49">
        <f>F14*J14</f>
        <v>0</v>
      </c>
      <c r="K15" s="49">
        <f>F14*K14</f>
        <v>889.0205691832562</v>
      </c>
      <c r="L15" s="49">
        <f>F14*L14</f>
        <v>1778.0411383665123</v>
      </c>
      <c r="M15" s="49">
        <f>F14*M14</f>
        <v>296.3401897277521</v>
      </c>
      <c r="N15" s="51">
        <f t="shared" si="0"/>
        <v>2963.4018972775207</v>
      </c>
    </row>
    <row r="16" spans="1:14" ht="12.75">
      <c r="A16" s="494" t="str">
        <f>'PLANILHA CONCLUSÃO'!A45</f>
        <v>7.0</v>
      </c>
      <c r="B16" s="504" t="str">
        <f>'PLANILHA CONCLUSÃO'!D45</f>
        <v>ESQUADRIAS</v>
      </c>
      <c r="C16" s="505"/>
      <c r="D16" s="505"/>
      <c r="E16" s="506"/>
      <c r="F16" s="534">
        <f>'CRONOGRAMA GERAL'!F16*G$7</f>
        <v>3194.7846900107047</v>
      </c>
      <c r="G16" s="23" t="s">
        <v>352</v>
      </c>
      <c r="H16" s="120">
        <v>0</v>
      </c>
      <c r="I16" s="120">
        <v>0</v>
      </c>
      <c r="J16" s="120">
        <v>0.3</v>
      </c>
      <c r="K16" s="120">
        <v>0.3</v>
      </c>
      <c r="L16" s="120">
        <v>0.2</v>
      </c>
      <c r="M16" s="120">
        <v>0.2</v>
      </c>
      <c r="N16" s="25">
        <f t="shared" si="0"/>
        <v>1</v>
      </c>
    </row>
    <row r="17" spans="1:14" ht="12.75">
      <c r="A17" s="495"/>
      <c r="B17" s="507"/>
      <c r="C17" s="508"/>
      <c r="D17" s="508"/>
      <c r="E17" s="509"/>
      <c r="F17" s="535"/>
      <c r="G17" s="23" t="s">
        <v>339</v>
      </c>
      <c r="H17" s="49">
        <f>F16*H16</f>
        <v>0</v>
      </c>
      <c r="I17" s="49">
        <f>F16*I16</f>
        <v>0</v>
      </c>
      <c r="J17" s="49">
        <f>F16*J16</f>
        <v>958.4354070032114</v>
      </c>
      <c r="K17" s="49">
        <f>F16*K16</f>
        <v>958.4354070032114</v>
      </c>
      <c r="L17" s="49">
        <f>F16*L16</f>
        <v>638.956938002141</v>
      </c>
      <c r="M17" s="49">
        <f>F16*M16</f>
        <v>638.956938002141</v>
      </c>
      <c r="N17" s="51">
        <f t="shared" si="0"/>
        <v>3194.784690010705</v>
      </c>
    </row>
    <row r="18" spans="1:14" ht="12.75">
      <c r="A18" s="494" t="str">
        <f>'PLANILHA CONCLUSÃO'!A53</f>
        <v>8.0</v>
      </c>
      <c r="B18" s="504" t="str">
        <f>'PLANILHA CONCLUSÃO'!D53</f>
        <v>COBERTURA - ESTRUTURA E TELHA</v>
      </c>
      <c r="C18" s="505"/>
      <c r="D18" s="505"/>
      <c r="E18" s="506"/>
      <c r="F18" s="534">
        <f>'CRONOGRAMA GERAL'!F18*G$7</f>
        <v>7127.04342029772</v>
      </c>
      <c r="G18" s="23" t="s">
        <v>352</v>
      </c>
      <c r="H18" s="120">
        <v>0</v>
      </c>
      <c r="I18" s="120">
        <v>0</v>
      </c>
      <c r="J18" s="120">
        <v>0</v>
      </c>
      <c r="K18" s="120">
        <v>0.55</v>
      </c>
      <c r="L18" s="120">
        <v>0.4</v>
      </c>
      <c r="M18" s="120">
        <v>0.05</v>
      </c>
      <c r="N18" s="25">
        <f t="shared" si="0"/>
        <v>1</v>
      </c>
    </row>
    <row r="19" spans="1:14" ht="12.75">
      <c r="A19" s="495"/>
      <c r="B19" s="507"/>
      <c r="C19" s="508"/>
      <c r="D19" s="508"/>
      <c r="E19" s="509"/>
      <c r="F19" s="535"/>
      <c r="G19" s="23" t="s">
        <v>339</v>
      </c>
      <c r="H19" s="49">
        <f>F18*H18</f>
        <v>0</v>
      </c>
      <c r="I19" s="49">
        <f>F18*I18</f>
        <v>0</v>
      </c>
      <c r="J19" s="49">
        <f>F18*J18</f>
        <v>0</v>
      </c>
      <c r="K19" s="49">
        <f>F18*K18</f>
        <v>3919.8738811637463</v>
      </c>
      <c r="L19" s="49">
        <f>F18*L18</f>
        <v>2850.8173681190883</v>
      </c>
      <c r="M19" s="49">
        <f>F18*M18</f>
        <v>356.35217101488604</v>
      </c>
      <c r="N19" s="51">
        <f t="shared" si="0"/>
        <v>7127.04342029772</v>
      </c>
    </row>
    <row r="20" spans="1:14" ht="12.75">
      <c r="A20" s="494" t="str">
        <f>'PLANILHA CONCLUSÃO'!A57</f>
        <v>9.0</v>
      </c>
      <c r="B20" s="504" t="str">
        <f>'PLANILHA CONCLUSÃO'!D57</f>
        <v>INSTALAÇÕES ÁGUA FRIA E ESGOTO</v>
      </c>
      <c r="C20" s="505"/>
      <c r="D20" s="505"/>
      <c r="E20" s="506"/>
      <c r="F20" s="534">
        <f>'CRONOGRAMA GERAL'!F20*G$7</f>
        <v>424.075332033713</v>
      </c>
      <c r="G20" s="23" t="s">
        <v>352</v>
      </c>
      <c r="H20" s="120">
        <v>0.1</v>
      </c>
      <c r="I20" s="120">
        <v>0.2</v>
      </c>
      <c r="J20" s="120">
        <v>0.2</v>
      </c>
      <c r="K20" s="120"/>
      <c r="L20" s="120"/>
      <c r="M20" s="120">
        <v>0.5</v>
      </c>
      <c r="N20" s="25">
        <f t="shared" si="0"/>
        <v>1</v>
      </c>
    </row>
    <row r="21" spans="1:14" ht="12.75">
      <c r="A21" s="495"/>
      <c r="B21" s="507"/>
      <c r="C21" s="508"/>
      <c r="D21" s="508"/>
      <c r="E21" s="509"/>
      <c r="F21" s="535"/>
      <c r="G21" s="23" t="s">
        <v>339</v>
      </c>
      <c r="H21" s="49">
        <f>F20*H20</f>
        <v>42.4075332033713</v>
      </c>
      <c r="I21" s="49">
        <f>F20*I20</f>
        <v>84.8150664067426</v>
      </c>
      <c r="J21" s="49">
        <f>F20*J20</f>
        <v>84.8150664067426</v>
      </c>
      <c r="K21" s="49">
        <f>F20*K20</f>
        <v>0</v>
      </c>
      <c r="L21" s="49">
        <f>F20*L20</f>
        <v>0</v>
      </c>
      <c r="M21" s="49">
        <f>F20*M20</f>
        <v>212.0376660168565</v>
      </c>
      <c r="N21" s="51">
        <f t="shared" si="0"/>
        <v>424.07533203371304</v>
      </c>
    </row>
    <row r="22" spans="1:14" ht="12.75">
      <c r="A22" s="494" t="str">
        <f>'PLANILHA CONCLUSÃO'!A72</f>
        <v>10.0</v>
      </c>
      <c r="B22" s="504" t="str">
        <f>'PLANILHA CONCLUSÃO'!D72</f>
        <v>INSTALAÇÕES SANITÁRIAS </v>
      </c>
      <c r="C22" s="505"/>
      <c r="D22" s="505"/>
      <c r="E22" s="506"/>
      <c r="F22" s="534">
        <f>'CRONOGRAMA GERAL'!F22*G$7</f>
        <v>355.07044475909515</v>
      </c>
      <c r="G22" s="23" t="s">
        <v>352</v>
      </c>
      <c r="H22" s="120">
        <v>0.1</v>
      </c>
      <c r="I22" s="120">
        <v>0.2</v>
      </c>
      <c r="J22" s="120">
        <v>0.2</v>
      </c>
      <c r="K22" s="120"/>
      <c r="L22" s="120"/>
      <c r="M22" s="120">
        <v>0.5</v>
      </c>
      <c r="N22" s="25">
        <f t="shared" si="0"/>
        <v>1</v>
      </c>
    </row>
    <row r="23" spans="1:14" ht="12.75">
      <c r="A23" s="495"/>
      <c r="B23" s="507"/>
      <c r="C23" s="508"/>
      <c r="D23" s="508"/>
      <c r="E23" s="509"/>
      <c r="F23" s="535"/>
      <c r="G23" s="23" t="s">
        <v>339</v>
      </c>
      <c r="H23" s="49">
        <f>F22*H22</f>
        <v>35.50704447590952</v>
      </c>
      <c r="I23" s="49">
        <f>F22*I22</f>
        <v>71.01408895181903</v>
      </c>
      <c r="J23" s="49">
        <f>F22*J22</f>
        <v>71.01408895181903</v>
      </c>
      <c r="K23" s="49">
        <f>F22*K22</f>
        <v>0</v>
      </c>
      <c r="L23" s="49">
        <f>F22*L22</f>
        <v>0</v>
      </c>
      <c r="M23" s="49">
        <f>F22*M22</f>
        <v>177.53522237954758</v>
      </c>
      <c r="N23" s="51">
        <f t="shared" si="0"/>
        <v>355.07044475909515</v>
      </c>
    </row>
    <row r="24" spans="1:14" ht="12.75">
      <c r="A24" s="494" t="str">
        <f>'PLANILHA CONCLUSÃO'!A88</f>
        <v>11.0</v>
      </c>
      <c r="B24" s="504" t="str">
        <f>'PLANILHA CONCLUSÃO'!D88</f>
        <v>METAIS E PEÇAS SANITÁRIAS</v>
      </c>
      <c r="C24" s="505"/>
      <c r="D24" s="505"/>
      <c r="E24" s="506"/>
      <c r="F24" s="534">
        <f>'CRONOGRAMA GERAL'!F24*G$7</f>
        <v>624.7098314290514</v>
      </c>
      <c r="G24" s="23" t="s">
        <v>352</v>
      </c>
      <c r="H24" s="120">
        <v>0</v>
      </c>
      <c r="I24" s="120">
        <v>0</v>
      </c>
      <c r="J24" s="120">
        <v>0</v>
      </c>
      <c r="K24" s="120">
        <v>0</v>
      </c>
      <c r="L24" s="120"/>
      <c r="M24" s="120">
        <v>1</v>
      </c>
      <c r="N24" s="25">
        <f t="shared" si="0"/>
        <v>1</v>
      </c>
    </row>
    <row r="25" spans="1:14" ht="12.75">
      <c r="A25" s="495"/>
      <c r="B25" s="507"/>
      <c r="C25" s="508"/>
      <c r="D25" s="508"/>
      <c r="E25" s="509"/>
      <c r="F25" s="535"/>
      <c r="G25" s="23" t="s">
        <v>339</v>
      </c>
      <c r="H25" s="49">
        <f>F24*H24</f>
        <v>0</v>
      </c>
      <c r="I25" s="49">
        <f>F24*I24</f>
        <v>0</v>
      </c>
      <c r="J25" s="49">
        <f>F24*J24</f>
        <v>0</v>
      </c>
      <c r="K25" s="49">
        <f>F24*K24</f>
        <v>0</v>
      </c>
      <c r="L25" s="49">
        <f>F24*L24</f>
        <v>0</v>
      </c>
      <c r="M25" s="49">
        <f>F24*M24</f>
        <v>624.7098314290514</v>
      </c>
      <c r="N25" s="51">
        <f t="shared" si="0"/>
        <v>624.7098314290514</v>
      </c>
    </row>
    <row r="26" spans="1:14" ht="12.75">
      <c r="A26" s="494" t="str">
        <f>'PLANILHA CONCLUSÃO'!A97</f>
        <v>12.0</v>
      </c>
      <c r="B26" s="504" t="str">
        <f>'PLANILHA CONCLUSÃO'!D97</f>
        <v>LIGAÇÃO À REDE DE ESGOTO</v>
      </c>
      <c r="C26" s="505"/>
      <c r="D26" s="505"/>
      <c r="E26" s="506"/>
      <c r="F26" s="534">
        <f>'CRONOGRAMA GERAL'!F26*G$7</f>
        <v>72.18460716978214</v>
      </c>
      <c r="G26" s="23" t="s">
        <v>352</v>
      </c>
      <c r="H26" s="120">
        <v>0</v>
      </c>
      <c r="I26" s="120">
        <v>0</v>
      </c>
      <c r="J26" s="120">
        <v>0</v>
      </c>
      <c r="K26" s="120">
        <v>0</v>
      </c>
      <c r="L26" s="120"/>
      <c r="M26" s="120">
        <v>1</v>
      </c>
      <c r="N26" s="25">
        <f t="shared" si="0"/>
        <v>1</v>
      </c>
    </row>
    <row r="27" spans="1:14" ht="12.75">
      <c r="A27" s="495"/>
      <c r="B27" s="507"/>
      <c r="C27" s="508"/>
      <c r="D27" s="508"/>
      <c r="E27" s="509"/>
      <c r="F27" s="535"/>
      <c r="G27" s="23" t="s">
        <v>339</v>
      </c>
      <c r="H27" s="49">
        <f>F26*H26</f>
        <v>0</v>
      </c>
      <c r="I27" s="49">
        <f>F26*I26</f>
        <v>0</v>
      </c>
      <c r="J27" s="49">
        <f>F26*J26</f>
        <v>0</v>
      </c>
      <c r="K27" s="49">
        <f>F26*K26</f>
        <v>0</v>
      </c>
      <c r="L27" s="49">
        <f>F26*L26</f>
        <v>0</v>
      </c>
      <c r="M27" s="49">
        <f>F26*M26</f>
        <v>72.18460716978214</v>
      </c>
      <c r="N27" s="51">
        <f t="shared" si="0"/>
        <v>72.18460716978214</v>
      </c>
    </row>
    <row r="28" spans="1:14" ht="12.75">
      <c r="A28" s="494" t="str">
        <f>'PLANILHA CONCLUSÃO'!A99</f>
        <v>13.0</v>
      </c>
      <c r="B28" s="504" t="str">
        <f>'PLANILHA CONCLUSÃO'!D99</f>
        <v>INSTALAÇÕES ELÉTRICAS </v>
      </c>
      <c r="C28" s="505"/>
      <c r="D28" s="505"/>
      <c r="E28" s="506"/>
      <c r="F28" s="534">
        <f>'CRONOGRAMA GERAL'!F28*G$7</f>
        <v>823.8880586881385</v>
      </c>
      <c r="G28" s="23" t="s">
        <v>352</v>
      </c>
      <c r="H28" s="120">
        <v>0.1</v>
      </c>
      <c r="I28" s="120">
        <v>0.2</v>
      </c>
      <c r="J28" s="120">
        <v>0.2</v>
      </c>
      <c r="K28" s="120">
        <v>0</v>
      </c>
      <c r="L28" s="120">
        <v>0</v>
      </c>
      <c r="M28" s="120">
        <v>0.5</v>
      </c>
      <c r="N28" s="25">
        <f t="shared" si="0"/>
        <v>1</v>
      </c>
    </row>
    <row r="29" spans="1:14" ht="12.75">
      <c r="A29" s="495"/>
      <c r="B29" s="507"/>
      <c r="C29" s="508"/>
      <c r="D29" s="508"/>
      <c r="E29" s="509"/>
      <c r="F29" s="535"/>
      <c r="G29" s="23" t="s">
        <v>339</v>
      </c>
      <c r="H29" s="49">
        <f>F28*H28</f>
        <v>82.38880586881385</v>
      </c>
      <c r="I29" s="49">
        <f>F28*I28</f>
        <v>164.7776117376277</v>
      </c>
      <c r="J29" s="49">
        <f>F28*J28</f>
        <v>164.7776117376277</v>
      </c>
      <c r="K29" s="49">
        <f>F28*K28</f>
        <v>0</v>
      </c>
      <c r="L29" s="49">
        <f>F28*L28</f>
        <v>0</v>
      </c>
      <c r="M29" s="49">
        <f>F28*M28</f>
        <v>411.94402934406924</v>
      </c>
      <c r="N29" s="51">
        <f t="shared" si="0"/>
        <v>823.8880586881385</v>
      </c>
    </row>
    <row r="30" spans="1:14" ht="12.75">
      <c r="A30" s="494" t="str">
        <f>'PLANILHA CONCLUSÃO'!A127</f>
        <v>14.0</v>
      </c>
      <c r="B30" s="504" t="str">
        <f>'PLANILHA CONCLUSÃO'!D127</f>
        <v>SERVIÇOS DIVERSOS</v>
      </c>
      <c r="C30" s="505"/>
      <c r="D30" s="505"/>
      <c r="E30" s="506"/>
      <c r="F30" s="534">
        <f>'CRONOGRAMA GERAL'!F30*G$7</f>
        <v>2521.2633758388365</v>
      </c>
      <c r="G30" s="23" t="s">
        <v>352</v>
      </c>
      <c r="H30" s="120">
        <v>0</v>
      </c>
      <c r="I30" s="120">
        <v>0</v>
      </c>
      <c r="J30" s="120">
        <v>0</v>
      </c>
      <c r="K30" s="120">
        <v>0</v>
      </c>
      <c r="L30" s="120">
        <v>0.6</v>
      </c>
      <c r="M30" s="120">
        <v>0.4</v>
      </c>
      <c r="N30" s="25">
        <f t="shared" si="0"/>
        <v>1</v>
      </c>
    </row>
    <row r="31" spans="1:14" ht="12.75">
      <c r="A31" s="495"/>
      <c r="B31" s="507"/>
      <c r="C31" s="508"/>
      <c r="D31" s="508"/>
      <c r="E31" s="509"/>
      <c r="F31" s="535"/>
      <c r="G31" s="23" t="s">
        <v>339</v>
      </c>
      <c r="H31" s="49">
        <f>F30*H30</f>
        <v>0</v>
      </c>
      <c r="I31" s="49">
        <f>F30*I30</f>
        <v>0</v>
      </c>
      <c r="J31" s="49">
        <f>F30*J30</f>
        <v>0</v>
      </c>
      <c r="K31" s="49">
        <f>F30*K30</f>
        <v>0</v>
      </c>
      <c r="L31" s="49">
        <f>F30*L30</f>
        <v>1512.758025503302</v>
      </c>
      <c r="M31" s="49">
        <f>F30*M30</f>
        <v>1008.5053503355347</v>
      </c>
      <c r="N31" s="51">
        <f t="shared" si="0"/>
        <v>2521.2633758388365</v>
      </c>
    </row>
    <row r="32" spans="1:14" ht="12.75">
      <c r="A32" s="494"/>
      <c r="B32" s="496" t="s">
        <v>290</v>
      </c>
      <c r="C32" s="497"/>
      <c r="D32" s="497"/>
      <c r="E32" s="498"/>
      <c r="F32" s="532">
        <f>F10+F12+F14+F16+F18+F20+F22+F24+F26+F28+F30</f>
        <v>22810.85379240375</v>
      </c>
      <c r="G32" s="23" t="s">
        <v>352</v>
      </c>
      <c r="H32" s="120">
        <f>H33/F32</f>
        <v>0.08064937376276121</v>
      </c>
      <c r="I32" s="120">
        <f>I33/F32</f>
        <v>0.0906741858596252</v>
      </c>
      <c r="J32" s="120">
        <f>J33/F32</f>
        <v>0.11206716825100764</v>
      </c>
      <c r="K32" s="120">
        <f>K33/F32</f>
        <v>0.2528327045465872</v>
      </c>
      <c r="L32" s="120">
        <f>L33/F32</f>
        <v>0.2972520683223635</v>
      </c>
      <c r="M32" s="120">
        <f>M33/F32</f>
        <v>0.16652449925765528</v>
      </c>
      <c r="N32" s="25">
        <f t="shared" si="0"/>
        <v>1</v>
      </c>
    </row>
    <row r="33" spans="1:14" ht="12.75">
      <c r="A33" s="495"/>
      <c r="B33" s="499"/>
      <c r="C33" s="500"/>
      <c r="D33" s="500"/>
      <c r="E33" s="501"/>
      <c r="F33" s="533"/>
      <c r="G33" s="23" t="s">
        <v>339</v>
      </c>
      <c r="H33" s="49">
        <f aca="true" t="shared" si="1" ref="H33:M33">H11+H13+H15+H17+H19+H21+H23+H25+H27+H29+H31</f>
        <v>1839.6810733512689</v>
      </c>
      <c r="I33" s="49">
        <f t="shared" si="1"/>
        <v>2068.3555963891536</v>
      </c>
      <c r="J33" s="49">
        <f t="shared" si="1"/>
        <v>2556.3477899024465</v>
      </c>
      <c r="K33" s="49">
        <f t="shared" si="1"/>
        <v>5767.329857350214</v>
      </c>
      <c r="L33" s="49">
        <f t="shared" si="1"/>
        <v>6780.573469991044</v>
      </c>
      <c r="M33" s="49">
        <f t="shared" si="1"/>
        <v>3798.566005419621</v>
      </c>
      <c r="N33" s="51">
        <f t="shared" si="0"/>
        <v>22810.853792403745</v>
      </c>
    </row>
    <row r="34" spans="1:14" ht="12.75">
      <c r="A34" s="14" t="s">
        <v>369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ht="22.5" customHeight="1"/>
    <row r="36" spans="2:9" ht="12.75">
      <c r="B36" s="493" t="str">
        <f>'CRONOGRAMA REPASSE'!B36:G36</f>
        <v>RÔMULO FERNANDES DE SOUSA</v>
      </c>
      <c r="C36" s="493"/>
      <c r="D36" s="493"/>
      <c r="E36" s="493"/>
      <c r="F36" s="493"/>
      <c r="G36" s="493"/>
      <c r="H36" s="5"/>
      <c r="I36" s="5"/>
    </row>
    <row r="37" spans="2:12" ht="12.75" customHeight="1">
      <c r="B37" s="493" t="str">
        <f>'CRONOGRAMA REPASSE'!B37:G37</f>
        <v>Engº Civil CREA: ES-031073/D</v>
      </c>
      <c r="C37" s="493"/>
      <c r="D37" s="493"/>
      <c r="E37" s="493"/>
      <c r="F37" s="493"/>
      <c r="G37" s="493"/>
      <c r="H37" s="29"/>
      <c r="I37" s="29"/>
      <c r="J37" s="28"/>
      <c r="K37" s="28"/>
      <c r="L37" s="28"/>
    </row>
    <row r="38" spans="2:12" ht="12.75">
      <c r="B38" s="530"/>
      <c r="C38" s="530"/>
      <c r="D38" s="530"/>
      <c r="E38" s="530"/>
      <c r="F38" s="119"/>
      <c r="G38" s="119"/>
      <c r="H38" s="119"/>
      <c r="I38" s="119"/>
      <c r="J38" s="27"/>
      <c r="K38" s="27"/>
      <c r="L38" s="27"/>
    </row>
    <row r="39" spans="3:14" ht="12.75">
      <c r="C39" s="529"/>
      <c r="D39" s="529"/>
      <c r="E39" s="529"/>
      <c r="F39" s="529"/>
      <c r="G39" s="529"/>
      <c r="N39" s="12"/>
    </row>
    <row r="40" ht="12.75">
      <c r="N40" s="12"/>
    </row>
  </sheetData>
  <sheetProtection/>
  <mergeCells count="47">
    <mergeCell ref="A32:A33"/>
    <mergeCell ref="B32:E33"/>
    <mergeCell ref="J7:K7"/>
    <mergeCell ref="A28:A29"/>
    <mergeCell ref="A30:A31"/>
    <mergeCell ref="B26:E27"/>
    <mergeCell ref="B28:E29"/>
    <mergeCell ref="B30:E31"/>
    <mergeCell ref="A24:A25"/>
    <mergeCell ref="B24:E25"/>
    <mergeCell ref="A26:A27"/>
    <mergeCell ref="F26:F27"/>
    <mergeCell ref="A7:E7"/>
    <mergeCell ref="A10:A11"/>
    <mergeCell ref="B10:E11"/>
    <mergeCell ref="F10:F11"/>
    <mergeCell ref="F12:F13"/>
    <mergeCell ref="A8:N8"/>
    <mergeCell ref="B9:E9"/>
    <mergeCell ref="F14:F15"/>
    <mergeCell ref="F16:F17"/>
    <mergeCell ref="F18:F19"/>
    <mergeCell ref="H7:I7"/>
    <mergeCell ref="B14:E15"/>
    <mergeCell ref="B16:E17"/>
    <mergeCell ref="B18:E19"/>
    <mergeCell ref="B12:E13"/>
    <mergeCell ref="B20:E21"/>
    <mergeCell ref="C39:G39"/>
    <mergeCell ref="A12:A13"/>
    <mergeCell ref="A14:A15"/>
    <mergeCell ref="A16:A17"/>
    <mergeCell ref="A18:A19"/>
    <mergeCell ref="A20:A21"/>
    <mergeCell ref="A22:A23"/>
    <mergeCell ref="B22:E23"/>
    <mergeCell ref="F22:F23"/>
    <mergeCell ref="B36:G36"/>
    <mergeCell ref="B37:G37"/>
    <mergeCell ref="B38:E38"/>
    <mergeCell ref="M6:N6"/>
    <mergeCell ref="A6:K6"/>
    <mergeCell ref="F28:F29"/>
    <mergeCell ref="F30:F31"/>
    <mergeCell ref="F32:F33"/>
    <mergeCell ref="F24:F25"/>
    <mergeCell ref="F20:F21"/>
  </mergeCells>
  <printOptions/>
  <pageMargins left="1.062992125984252" right="0.7874015748031497" top="0.3937007874015748" bottom="0.1968503937007874" header="0.11811023622047245" footer="0.31496062992125984"/>
  <pageSetup horizontalDpi="300" verticalDpi="300" orientation="landscape" paperSize="9" scale="95" r:id="rId4"/>
  <drawing r:id="rId3"/>
  <legacyDrawing r:id="rId2"/>
  <oleObjects>
    <oleObject progId="Word.Document.8" shapeId="23267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28"/>
  <sheetViews>
    <sheetView zoomScalePageLayoutView="0" workbookViewId="0" topLeftCell="A7">
      <selection activeCell="F28" sqref="F28"/>
    </sheetView>
  </sheetViews>
  <sheetFormatPr defaultColWidth="9.140625" defaultRowHeight="12.75"/>
  <cols>
    <col min="1" max="1" width="5.8515625" style="0" customWidth="1"/>
    <col min="3" max="3" width="38.421875" style="0" customWidth="1"/>
    <col min="4" max="4" width="11.00390625" style="0" customWidth="1"/>
    <col min="5" max="5" width="13.28125" style="0" customWidth="1"/>
    <col min="6" max="7" width="11.421875" style="0" customWidth="1"/>
    <col min="8" max="8" width="8.7109375" style="0" customWidth="1"/>
    <col min="9" max="9" width="6.421875" style="0" bestFit="1" customWidth="1"/>
    <col min="10" max="10" width="7.00390625" style="0" customWidth="1"/>
    <col min="11" max="11" width="9.28125" style="0" customWidth="1"/>
    <col min="12" max="12" width="10.140625" style="0" bestFit="1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536" t="s">
        <v>354</v>
      </c>
      <c r="D2" s="536"/>
      <c r="E2" s="536"/>
      <c r="F2" s="536"/>
      <c r="G2" s="536"/>
      <c r="H2" s="536"/>
      <c r="I2" s="536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52" t="s">
        <v>355</v>
      </c>
      <c r="D5" s="5" t="s">
        <v>356</v>
      </c>
      <c r="E5" s="5"/>
      <c r="F5" s="5"/>
      <c r="G5" s="5"/>
      <c r="H5" s="5"/>
      <c r="I5" s="5"/>
    </row>
    <row r="6" spans="1:9" ht="12.75">
      <c r="A6" s="4"/>
      <c r="B6" s="4"/>
      <c r="C6" s="52" t="s">
        <v>357</v>
      </c>
      <c r="D6" s="5" t="s">
        <v>358</v>
      </c>
      <c r="E6" s="5"/>
      <c r="F6" s="5"/>
      <c r="G6" s="5"/>
      <c r="H6" s="5"/>
      <c r="I6" s="5"/>
    </row>
    <row r="7" spans="1:9" ht="12.75">
      <c r="A7" s="4"/>
      <c r="B7" s="4"/>
      <c r="C7" s="52"/>
      <c r="D7" s="5"/>
      <c r="E7" s="5"/>
      <c r="F7" s="5"/>
      <c r="G7" s="39" t="str">
        <f>'PLANILHA CONCLUSÃO'!E19</f>
        <v>CONVÊNIO:</v>
      </c>
      <c r="H7" s="538" t="str">
        <f>'PLANILHA CONCLUSÃO'!G19</f>
        <v>0312.659-59/2009</v>
      </c>
      <c r="I7" s="539"/>
    </row>
    <row r="8" spans="1:13" ht="15" customHeight="1">
      <c r="A8" s="537" t="s">
        <v>359</v>
      </c>
      <c r="B8" s="542" t="s">
        <v>360</v>
      </c>
      <c r="C8" s="543"/>
      <c r="D8" s="537" t="s">
        <v>365</v>
      </c>
      <c r="E8" s="537"/>
      <c r="F8" s="537"/>
      <c r="G8" s="537"/>
      <c r="H8" s="537" t="s">
        <v>361</v>
      </c>
      <c r="I8" s="537" t="s">
        <v>362</v>
      </c>
      <c r="K8" s="130" t="s">
        <v>495</v>
      </c>
      <c r="L8" s="546" t="s">
        <v>496</v>
      </c>
      <c r="M8" s="546"/>
    </row>
    <row r="9" spans="1:13" ht="23.25" customHeight="1">
      <c r="A9" s="537"/>
      <c r="B9" s="544"/>
      <c r="C9" s="545"/>
      <c r="D9" s="48" t="s">
        <v>494</v>
      </c>
      <c r="E9" s="24" t="s">
        <v>363</v>
      </c>
      <c r="F9" s="24" t="s">
        <v>364</v>
      </c>
      <c r="G9" s="24" t="s">
        <v>290</v>
      </c>
      <c r="H9" s="537"/>
      <c r="I9" s="537"/>
      <c r="K9" s="148">
        <f>'CRONOGRAMA REPASSE'!G7</f>
        <v>0.9092069205376858</v>
      </c>
      <c r="L9" s="148">
        <f>'CRONOGRAMA CONTRAPARTIDA'!G7</f>
        <v>0.09079307946231417</v>
      </c>
      <c r="M9" s="126"/>
    </row>
    <row r="10" spans="1:13" ht="18" customHeight="1">
      <c r="A10" s="24" t="str">
        <f>'CRONOGRAMA CONTRAPARTIDA'!A10</f>
        <v>4.0</v>
      </c>
      <c r="B10" s="540" t="str">
        <f>'CRONOGRAMA CONTRAPARTIDA'!B10</f>
        <v>ALVENARIA E DIVISÕES </v>
      </c>
      <c r="C10" s="541"/>
      <c r="D10" s="49">
        <f>'CRONOGRAMA REPASSE'!F10</f>
        <v>13421.239974117723</v>
      </c>
      <c r="E10" s="49">
        <f>'CRONOGRAMA CONTRAPARTIDA'!F10</f>
        <v>1340.240246667095</v>
      </c>
      <c r="F10" s="23"/>
      <c r="G10" s="49">
        <f>D10+E10</f>
        <v>14761.480220784819</v>
      </c>
      <c r="H10" s="53" t="s">
        <v>497</v>
      </c>
      <c r="I10" s="50" t="s">
        <v>498</v>
      </c>
      <c r="K10" s="126"/>
      <c r="L10" s="126"/>
      <c r="M10" s="126"/>
    </row>
    <row r="11" spans="1:13" ht="18" customHeight="1">
      <c r="A11" s="24" t="str">
        <f>'CRONOGRAMA CONTRAPARTIDA'!A12</f>
        <v>5.0</v>
      </c>
      <c r="B11" s="540" t="str">
        <f>'CRONOGRAMA CONTRAPARTIDA'!B12</f>
        <v>REVESTIMENTO</v>
      </c>
      <c r="C11" s="541"/>
      <c r="D11" s="49">
        <f>'CRONOGRAMA REPASSE'!F12</f>
        <v>33689.20368062816</v>
      </c>
      <c r="E11" s="49">
        <f>'CRONOGRAMA CONTRAPARTIDA'!F12</f>
        <v>3364.191888232089</v>
      </c>
      <c r="F11" s="23"/>
      <c r="G11" s="49">
        <f aca="true" t="shared" si="0" ref="G11:G20">D11+E11</f>
        <v>37053.39556886025</v>
      </c>
      <c r="H11" s="53" t="s">
        <v>497</v>
      </c>
      <c r="I11" s="50" t="s">
        <v>498</v>
      </c>
      <c r="K11" s="126"/>
      <c r="L11" s="126"/>
      <c r="M11" s="126"/>
    </row>
    <row r="12" spans="1:9" ht="18" customHeight="1">
      <c r="A12" s="24" t="str">
        <f>'CRONOGRAMA CONTRAPARTIDA'!A14</f>
        <v>6.0</v>
      </c>
      <c r="B12" s="540" t="str">
        <f>'CRONOGRAMA CONTRAPARTIDA'!B14</f>
        <v>PISOS</v>
      </c>
      <c r="C12" s="541"/>
      <c r="D12" s="49">
        <f>'CRONOGRAMA REPASSE'!F14</f>
        <v>29675.670538937742</v>
      </c>
      <c r="E12" s="49">
        <f>'CRONOGRAMA CONTRAPARTIDA'!F14</f>
        <v>2963.4018972775207</v>
      </c>
      <c r="F12" s="23"/>
      <c r="G12" s="49">
        <f t="shared" si="0"/>
        <v>32639.07243621526</v>
      </c>
      <c r="H12" s="53" t="s">
        <v>497</v>
      </c>
      <c r="I12" s="50" t="s">
        <v>498</v>
      </c>
    </row>
    <row r="13" spans="1:9" ht="18" customHeight="1">
      <c r="A13" s="24" t="str">
        <f>'CRONOGRAMA CONTRAPARTIDA'!A16</f>
        <v>7.0</v>
      </c>
      <c r="B13" s="540" t="str">
        <f>'CRONOGRAMA CONTRAPARTIDA'!B16</f>
        <v>ESQUADRIAS</v>
      </c>
      <c r="C13" s="541"/>
      <c r="D13" s="49">
        <f>'CRONOGRAMA REPASSE'!F16</f>
        <v>31992.75062579248</v>
      </c>
      <c r="E13" s="49">
        <f>'CRONOGRAMA CONTRAPARTIDA'!F16</f>
        <v>3194.7846900107047</v>
      </c>
      <c r="F13" s="23"/>
      <c r="G13" s="49">
        <f t="shared" si="0"/>
        <v>35187.53531580319</v>
      </c>
      <c r="H13" s="53" t="s">
        <v>497</v>
      </c>
      <c r="I13" s="50" t="s">
        <v>498</v>
      </c>
    </row>
    <row r="14" spans="1:9" ht="18" customHeight="1">
      <c r="A14" s="24" t="str">
        <f>'CRONOGRAMA CONTRAPARTIDA'!A18</f>
        <v>8.0</v>
      </c>
      <c r="B14" s="540" t="str">
        <f>'CRONOGRAMA CONTRAPARTIDA'!B18</f>
        <v>COBERTURA - ESTRUTURA E TELHA</v>
      </c>
      <c r="C14" s="541"/>
      <c r="D14" s="49">
        <f>'CRONOGRAMA REPASSE'!F18</f>
        <v>71370.60708902297</v>
      </c>
      <c r="E14" s="49">
        <f>'CRONOGRAMA CONTRAPARTIDA'!F18</f>
        <v>7127.04342029772</v>
      </c>
      <c r="F14" s="23"/>
      <c r="G14" s="49">
        <f t="shared" si="0"/>
        <v>78497.6505093207</v>
      </c>
      <c r="H14" s="53" t="s">
        <v>497</v>
      </c>
      <c r="I14" s="50" t="s">
        <v>498</v>
      </c>
    </row>
    <row r="15" spans="1:9" ht="18" customHeight="1">
      <c r="A15" s="24" t="s">
        <v>387</v>
      </c>
      <c r="B15" s="540" t="str">
        <f>'CRONOGRAMA CONTRAPARTIDA'!B20</f>
        <v>INSTALAÇÕES ÁGUA FRIA E ESGOTO</v>
      </c>
      <c r="C15" s="541"/>
      <c r="D15" s="49">
        <f>'CRONOGRAMA REPASSE'!F20</f>
        <v>4246.713835435108</v>
      </c>
      <c r="E15" s="49">
        <f>'CRONOGRAMA CONTRAPARTIDA'!F20</f>
        <v>424.075332033713</v>
      </c>
      <c r="F15" s="23"/>
      <c r="G15" s="49">
        <f t="shared" si="0"/>
        <v>4670.789167468821</v>
      </c>
      <c r="H15" s="53" t="s">
        <v>497</v>
      </c>
      <c r="I15" s="50" t="s">
        <v>498</v>
      </c>
    </row>
    <row r="16" spans="1:9" ht="18" customHeight="1">
      <c r="A16" s="24" t="s">
        <v>388</v>
      </c>
      <c r="B16" s="540" t="str">
        <f>'CRONOGRAMA CONTRAPARTIDA'!B22</f>
        <v>INSTALAÇÕES SANITÁRIAS </v>
      </c>
      <c r="C16" s="541"/>
      <c r="D16" s="49">
        <f>'CRONOGRAMA REPASSE'!F22</f>
        <v>3555.6950768187426</v>
      </c>
      <c r="E16" s="49">
        <f>'CRONOGRAMA CONTRAPARTIDA'!F22</f>
        <v>355.07044475909515</v>
      </c>
      <c r="F16" s="23"/>
      <c r="G16" s="49">
        <f t="shared" si="0"/>
        <v>3910.7655215778377</v>
      </c>
      <c r="H16" s="53" t="s">
        <v>497</v>
      </c>
      <c r="I16" s="50" t="s">
        <v>498</v>
      </c>
    </row>
    <row r="17" spans="1:9" ht="18" customHeight="1">
      <c r="A17" s="24" t="s">
        <v>287</v>
      </c>
      <c r="B17" s="540" t="str">
        <f>'CRONOGRAMA CONTRAPARTIDA'!B24</f>
        <v>METAIS E PEÇAS SANITÁRIAS</v>
      </c>
      <c r="C17" s="541"/>
      <c r="D17" s="49">
        <f>'CRONOGRAMA REPASSE'!F24</f>
        <v>6255.878811765412</v>
      </c>
      <c r="E17" s="49">
        <f>'CRONOGRAMA CONTRAPARTIDA'!F24</f>
        <v>624.7098314290514</v>
      </c>
      <c r="F17" s="23"/>
      <c r="G17" s="49">
        <f t="shared" si="0"/>
        <v>6880.588643194464</v>
      </c>
      <c r="H17" s="53" t="s">
        <v>497</v>
      </c>
      <c r="I17" s="50" t="s">
        <v>498</v>
      </c>
    </row>
    <row r="18" spans="1:9" ht="18" customHeight="1">
      <c r="A18" s="24" t="s">
        <v>389</v>
      </c>
      <c r="B18" s="540" t="str">
        <f>'CRONOGRAMA CONTRAPARTIDA'!B26</f>
        <v>LIGAÇÃO À REDE DE ESGOTO</v>
      </c>
      <c r="C18" s="541"/>
      <c r="D18" s="49">
        <f>'CRONOGRAMA REPASSE'!F26</f>
        <v>722.8606495531609</v>
      </c>
      <c r="E18" s="49">
        <f>'CRONOGRAMA CONTRAPARTIDA'!F26</f>
        <v>72.18460716978214</v>
      </c>
      <c r="F18" s="23"/>
      <c r="G18" s="49">
        <f t="shared" si="0"/>
        <v>795.045256722943</v>
      </c>
      <c r="H18" s="53" t="s">
        <v>497</v>
      </c>
      <c r="I18" s="50" t="s">
        <v>498</v>
      </c>
    </row>
    <row r="19" spans="1:9" ht="18" customHeight="1">
      <c r="A19" s="24" t="s">
        <v>390</v>
      </c>
      <c r="B19" s="540" t="str">
        <f>'CRONOGRAMA CONTRAPARTIDA'!B28</f>
        <v>INSTALAÇÕES ELÉTRICAS </v>
      </c>
      <c r="C19" s="541"/>
      <c r="D19" s="49">
        <f>'CRONOGRAMA REPASSE'!F28</f>
        <v>8250.460598360252</v>
      </c>
      <c r="E19" s="49">
        <f>'CRONOGRAMA CONTRAPARTIDA'!F28</f>
        <v>823.8880586881385</v>
      </c>
      <c r="F19" s="23"/>
      <c r="G19" s="49">
        <f t="shared" si="0"/>
        <v>9074.348657048391</v>
      </c>
      <c r="H19" s="53" t="s">
        <v>497</v>
      </c>
      <c r="I19" s="50" t="s">
        <v>498</v>
      </c>
    </row>
    <row r="20" spans="1:9" ht="18" customHeight="1">
      <c r="A20" s="24" t="s">
        <v>391</v>
      </c>
      <c r="B20" s="540" t="str">
        <f>'CRONOGRAMA CONTRAPARTIDA'!B30</f>
        <v>SERVIÇOS DIVERSOS</v>
      </c>
      <c r="C20" s="541"/>
      <c r="D20" s="49">
        <f>'CRONOGRAMA REPASSE'!F30</f>
        <v>25248.070925519965</v>
      </c>
      <c r="E20" s="49">
        <f>'CRONOGRAMA CONTRAPARTIDA'!F30</f>
        <v>2521.2633758388365</v>
      </c>
      <c r="F20" s="23"/>
      <c r="G20" s="49">
        <f t="shared" si="0"/>
        <v>27769.334301358802</v>
      </c>
      <c r="H20" s="53" t="s">
        <v>497</v>
      </c>
      <c r="I20" s="50" t="s">
        <v>498</v>
      </c>
    </row>
    <row r="21" spans="1:10" ht="11.25" customHeight="1">
      <c r="A21" s="550"/>
      <c r="B21" s="551"/>
      <c r="C21" s="551"/>
      <c r="D21" s="551"/>
      <c r="E21" s="551"/>
      <c r="F21" s="551"/>
      <c r="G21" s="551"/>
      <c r="H21" s="551"/>
      <c r="I21" s="551"/>
      <c r="J21" s="551"/>
    </row>
    <row r="22" spans="1:12" ht="18" customHeight="1">
      <c r="A22" s="547" t="s">
        <v>290</v>
      </c>
      <c r="B22" s="548"/>
      <c r="C22" s="549"/>
      <c r="D22" s="149">
        <f>SUM(D10:D20)</f>
        <v>228429.15180595173</v>
      </c>
      <c r="E22" s="149">
        <f>SUM(E10:E20)</f>
        <v>22810.85379240375</v>
      </c>
      <c r="F22" s="150"/>
      <c r="G22" s="149">
        <f>SUM(G10:G20)</f>
        <v>251240.0055983555</v>
      </c>
      <c r="H22" s="151"/>
      <c r="I22" s="152"/>
      <c r="L22" s="12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21.75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54" t="str">
        <f>'CRONOGRAMA CONTRAPARTIDA'!M7</f>
        <v>Agosto de 2013</v>
      </c>
      <c r="B25" s="5"/>
      <c r="C25" s="5"/>
      <c r="D25" s="4"/>
      <c r="E25" s="4"/>
      <c r="F25" s="4"/>
      <c r="G25" s="4"/>
      <c r="H25" s="4"/>
      <c r="I25" s="4"/>
    </row>
    <row r="26" spans="1:11" ht="12.75">
      <c r="A26" s="5"/>
      <c r="B26" s="5"/>
      <c r="C26" s="344" t="s">
        <v>697</v>
      </c>
      <c r="D26" s="4"/>
      <c r="E26" s="4"/>
      <c r="F26" s="493" t="str">
        <f>'CRONOGRAMA CONTRAPARTIDA'!B36</f>
        <v>RÔMULO FERNANDES DE SOUSA</v>
      </c>
      <c r="G26" s="493"/>
      <c r="H26" s="493"/>
      <c r="I26" s="493"/>
      <c r="J26" s="493"/>
      <c r="K26" s="493"/>
    </row>
    <row r="27" spans="1:11" ht="12.75">
      <c r="A27" s="5"/>
      <c r="B27" s="5"/>
      <c r="C27" s="344" t="s">
        <v>698</v>
      </c>
      <c r="D27" s="5"/>
      <c r="E27" s="5"/>
      <c r="F27" s="493" t="str">
        <f>'CRONOGRAMA CONTRAPARTIDA'!B37</f>
        <v>Engº Civil CREA: ES-031073/D</v>
      </c>
      <c r="G27" s="493"/>
      <c r="H27" s="493"/>
      <c r="I27" s="493"/>
      <c r="J27" s="493"/>
      <c r="K27" s="493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</sheetData>
  <sheetProtection/>
  <mergeCells count="23">
    <mergeCell ref="F27:K27"/>
    <mergeCell ref="A22:C22"/>
    <mergeCell ref="B14:C14"/>
    <mergeCell ref="B20:C20"/>
    <mergeCell ref="B19:C19"/>
    <mergeCell ref="B15:C15"/>
    <mergeCell ref="B16:C16"/>
    <mergeCell ref="B17:C17"/>
    <mergeCell ref="A21:J21"/>
    <mergeCell ref="A8:A9"/>
    <mergeCell ref="L8:M8"/>
    <mergeCell ref="B10:C10"/>
    <mergeCell ref="B11:C11"/>
    <mergeCell ref="B12:C12"/>
    <mergeCell ref="F26:K26"/>
    <mergeCell ref="C2:I2"/>
    <mergeCell ref="I8:I9"/>
    <mergeCell ref="H7:I7"/>
    <mergeCell ref="B18:C18"/>
    <mergeCell ref="B8:C9"/>
    <mergeCell ref="D8:G8"/>
    <mergeCell ref="B13:C13"/>
    <mergeCell ref="H8:H9"/>
  </mergeCells>
  <printOptions/>
  <pageMargins left="1.3779527559055118" right="0.31496062992125984" top="0.31496062992125984" bottom="0.5511811023622047" header="0.2362204724409449" footer="0.35433070866141736"/>
  <pageSetup horizontalDpi="300" verticalDpi="300" orientation="landscape" paperSize="9" scale="95" r:id="rId4"/>
  <drawing r:id="rId3"/>
  <legacyDrawing r:id="rId2"/>
  <oleObjects>
    <oleObject progId="Paint.Picture" shapeId="219169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420"/>
  <sheetViews>
    <sheetView zoomScalePageLayoutView="0" workbookViewId="0" topLeftCell="A43">
      <selection activeCell="B381" sqref="B381"/>
    </sheetView>
  </sheetViews>
  <sheetFormatPr defaultColWidth="9.140625" defaultRowHeight="12.75"/>
  <cols>
    <col min="1" max="1" width="11.00390625" style="0" customWidth="1"/>
    <col min="2" max="2" width="39.57421875" style="0" customWidth="1"/>
    <col min="3" max="3" width="6.28125" style="0" customWidth="1"/>
    <col min="4" max="4" width="9.421875" style="0" customWidth="1"/>
    <col min="5" max="5" width="9.8515625" style="0" customWidth="1"/>
    <col min="6" max="6" width="7.28125" style="0" customWidth="1"/>
    <col min="7" max="7" width="7.8515625" style="0" customWidth="1"/>
    <col min="8" max="8" width="7.28125" style="0" customWidth="1"/>
    <col min="9" max="9" width="8.00390625" style="0" customWidth="1"/>
    <col min="10" max="10" width="7.57421875" style="0" customWidth="1"/>
    <col min="11" max="11" width="5.8515625" style="0" customWidth="1"/>
    <col min="12" max="12" width="8.00390625" style="0" customWidth="1"/>
    <col min="13" max="13" width="9.7109375" style="0" customWidth="1"/>
    <col min="14" max="14" width="10.57421875" style="0" customWidth="1"/>
    <col min="15" max="15" width="8.140625" style="0" customWidth="1"/>
    <col min="16" max="16" width="7.00390625" style="0" customWidth="1"/>
  </cols>
  <sheetData>
    <row r="1" spans="1:14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1.75" customHeight="1">
      <c r="A6" s="40"/>
      <c r="B6" s="40"/>
      <c r="C6" s="40"/>
      <c r="D6" s="40"/>
      <c r="E6" s="552" t="s">
        <v>680</v>
      </c>
      <c r="F6" s="552"/>
      <c r="G6" s="552"/>
      <c r="H6" s="40"/>
      <c r="I6" s="40"/>
      <c r="J6" s="40"/>
      <c r="K6" s="40"/>
      <c r="L6" s="40"/>
      <c r="M6" s="40"/>
      <c r="N6" s="40"/>
    </row>
    <row r="7" spans="1:14" ht="12.75">
      <c r="A7" s="42" t="s">
        <v>692</v>
      </c>
      <c r="B7" s="40"/>
      <c r="C7" s="40"/>
      <c r="D7" s="555"/>
      <c r="E7" s="555"/>
      <c r="F7" s="556"/>
      <c r="G7" s="552"/>
      <c r="H7" s="552"/>
      <c r="I7" s="552"/>
      <c r="J7" s="553"/>
      <c r="K7" s="554"/>
      <c r="L7" s="56"/>
      <c r="M7" s="42"/>
      <c r="N7" s="40"/>
    </row>
    <row r="8" spans="1:14" ht="12.75">
      <c r="A8" s="40" t="s">
        <v>639</v>
      </c>
      <c r="B8" s="40"/>
      <c r="C8" s="40"/>
      <c r="D8" s="40"/>
      <c r="E8" s="40"/>
      <c r="F8" s="40"/>
      <c r="G8" s="40"/>
      <c r="H8" s="40"/>
      <c r="I8" s="40"/>
      <c r="J8" s="43"/>
      <c r="K8" s="40"/>
      <c r="L8" s="40"/>
      <c r="M8" s="40"/>
      <c r="N8" s="40"/>
    </row>
    <row r="9" spans="1:19" ht="12.75">
      <c r="A9" s="40" t="s">
        <v>456</v>
      </c>
      <c r="B9" s="40"/>
      <c r="C9" s="40"/>
      <c r="D9" s="40"/>
      <c r="E9" s="40"/>
      <c r="F9" s="40"/>
      <c r="G9" s="40"/>
      <c r="H9" s="40"/>
      <c r="I9" s="40"/>
      <c r="J9" s="44"/>
      <c r="K9" s="42"/>
      <c r="L9" s="40"/>
      <c r="M9" s="40"/>
      <c r="N9" s="40"/>
      <c r="O9" s="9"/>
      <c r="P9" s="9"/>
      <c r="Q9" s="129">
        <v>572.58</v>
      </c>
      <c r="R9" s="9"/>
      <c r="S9" s="9"/>
    </row>
    <row r="10" spans="1:19" ht="12.75">
      <c r="A10" s="40" t="s">
        <v>457</v>
      </c>
      <c r="B10" s="40"/>
      <c r="C10" s="40"/>
      <c r="D10" s="40"/>
      <c r="E10" s="40"/>
      <c r="F10" s="40"/>
      <c r="G10" s="40"/>
      <c r="H10" s="40"/>
      <c r="I10" s="40"/>
      <c r="J10" s="69">
        <v>461.21</v>
      </c>
      <c r="K10" s="72" t="s">
        <v>276</v>
      </c>
      <c r="L10" s="40"/>
      <c r="M10" s="40"/>
      <c r="N10" s="40"/>
      <c r="O10" s="9"/>
      <c r="P10" s="9"/>
      <c r="Q10" s="9"/>
      <c r="R10" s="9"/>
      <c r="S10" s="9"/>
    </row>
    <row r="11" spans="1:19" ht="12.75">
      <c r="A11" s="40"/>
      <c r="B11" s="40"/>
      <c r="C11" s="40"/>
      <c r="D11" s="40"/>
      <c r="E11" s="40"/>
      <c r="F11" s="40"/>
      <c r="G11" s="40"/>
      <c r="H11" s="40"/>
      <c r="I11" s="40"/>
      <c r="J11" s="44"/>
      <c r="K11" s="42"/>
      <c r="L11" s="40"/>
      <c r="M11" s="40"/>
      <c r="N11" s="40"/>
      <c r="O11" s="9"/>
      <c r="P11" s="9"/>
      <c r="Q11" s="9"/>
      <c r="R11" s="9"/>
      <c r="S11" s="9"/>
    </row>
    <row r="12" spans="1:19" ht="12.75">
      <c r="A12" s="42" t="s">
        <v>693</v>
      </c>
      <c r="B12" s="40"/>
      <c r="C12" s="40"/>
      <c r="D12" s="40"/>
      <c r="E12" s="40"/>
      <c r="F12" s="40"/>
      <c r="G12" s="40"/>
      <c r="H12" s="40"/>
      <c r="I12" s="40"/>
      <c r="J12" s="44">
        <f>D13</f>
        <v>538</v>
      </c>
      <c r="K12" s="42" t="s">
        <v>276</v>
      </c>
      <c r="L12" s="40"/>
      <c r="M12" s="40"/>
      <c r="N12" s="40"/>
      <c r="O12" s="9"/>
      <c r="P12" s="9"/>
      <c r="Q12" s="9"/>
      <c r="R12" s="9"/>
      <c r="S12" s="9"/>
    </row>
    <row r="13" spans="1:19" ht="12.75">
      <c r="A13" s="40" t="s">
        <v>640</v>
      </c>
      <c r="B13" s="40"/>
      <c r="C13" s="43"/>
      <c r="D13" s="43">
        <v>538</v>
      </c>
      <c r="E13" s="43" t="s">
        <v>276</v>
      </c>
      <c r="F13" s="43"/>
      <c r="G13" s="43"/>
      <c r="H13" s="43"/>
      <c r="I13" s="43"/>
      <c r="J13" s="43"/>
      <c r="K13" s="43"/>
      <c r="L13" s="43"/>
      <c r="M13" s="43"/>
      <c r="N13" s="43"/>
      <c r="O13" s="31"/>
      <c r="P13" s="9"/>
      <c r="Q13" s="9"/>
      <c r="R13" s="9"/>
      <c r="S13" s="9"/>
    </row>
    <row r="14" spans="1:19" s="74" customFormat="1" ht="12.75">
      <c r="A14" s="40" t="s">
        <v>641</v>
      </c>
      <c r="B14" s="40"/>
      <c r="C14" s="43"/>
      <c r="D14" s="43"/>
      <c r="E14" s="43"/>
      <c r="F14" s="82"/>
      <c r="G14" s="43"/>
      <c r="H14" s="43"/>
      <c r="I14" s="43"/>
      <c r="J14" s="44">
        <f>F18</f>
        <v>80.53920000000001</v>
      </c>
      <c r="K14" s="44" t="s">
        <v>276</v>
      </c>
      <c r="L14" s="43"/>
      <c r="M14" s="43"/>
      <c r="N14" s="43"/>
      <c r="O14" s="66"/>
      <c r="P14" s="65"/>
      <c r="Q14" s="65"/>
      <c r="R14" s="65"/>
      <c r="S14" s="65"/>
    </row>
    <row r="15" spans="1:19" s="74" customFormat="1" ht="12.75">
      <c r="A15" s="40" t="s">
        <v>510</v>
      </c>
      <c r="B15" s="40"/>
      <c r="C15" s="43"/>
      <c r="D15" s="43">
        <v>11.9</v>
      </c>
      <c r="E15" s="43" t="s">
        <v>278</v>
      </c>
      <c r="F15" s="82"/>
      <c r="G15" s="43"/>
      <c r="H15" s="43"/>
      <c r="I15" s="43"/>
      <c r="J15" s="44"/>
      <c r="K15" s="44"/>
      <c r="L15" s="43"/>
      <c r="M15" s="43"/>
      <c r="N15" s="43"/>
      <c r="O15" s="66"/>
      <c r="P15" s="65"/>
      <c r="Q15" s="65"/>
      <c r="R15" s="65"/>
      <c r="S15" s="65"/>
    </row>
    <row r="16" spans="1:19" s="74" customFormat="1" ht="12.75">
      <c r="A16" s="40" t="s">
        <v>223</v>
      </c>
      <c r="B16" s="40"/>
      <c r="C16" s="43"/>
      <c r="D16" s="43">
        <v>7.52</v>
      </c>
      <c r="E16" s="43" t="s">
        <v>278</v>
      </c>
      <c r="F16" s="82"/>
      <c r="G16" s="43"/>
      <c r="H16" s="43"/>
      <c r="I16" s="43"/>
      <c r="J16" s="44"/>
      <c r="K16" s="44"/>
      <c r="L16" s="43"/>
      <c r="M16" s="43"/>
      <c r="N16" s="43"/>
      <c r="O16" s="66"/>
      <c r="P16" s="65"/>
      <c r="Q16" s="65"/>
      <c r="R16" s="65"/>
      <c r="S16" s="65"/>
    </row>
    <row r="17" spans="1:19" s="74" customFormat="1" ht="12.75">
      <c r="A17" s="40" t="s">
        <v>222</v>
      </c>
      <c r="B17" s="40"/>
      <c r="C17" s="43"/>
      <c r="D17" s="43">
        <v>0.9</v>
      </c>
      <c r="E17" s="43" t="s">
        <v>278</v>
      </c>
      <c r="F17" s="82"/>
      <c r="G17" s="43"/>
      <c r="H17" s="43"/>
      <c r="I17" s="43"/>
      <c r="J17" s="44"/>
      <c r="K17" s="44"/>
      <c r="L17" s="43"/>
      <c r="M17" s="43"/>
      <c r="N17" s="43"/>
      <c r="O17" s="66"/>
      <c r="P17" s="65"/>
      <c r="Q17" s="65"/>
      <c r="R17" s="65"/>
      <c r="S17" s="65"/>
    </row>
    <row r="18" spans="1:19" s="74" customFormat="1" ht="12.75">
      <c r="A18" s="40" t="s">
        <v>593</v>
      </c>
      <c r="B18" s="40"/>
      <c r="C18" s="43"/>
      <c r="D18" s="43"/>
      <c r="E18" s="43"/>
      <c r="F18" s="99">
        <f>D15*D16*D17</f>
        <v>80.53920000000001</v>
      </c>
      <c r="G18" s="43" t="s">
        <v>276</v>
      </c>
      <c r="H18" s="43"/>
      <c r="I18" s="43"/>
      <c r="J18" s="44"/>
      <c r="K18" s="44"/>
      <c r="L18" s="43"/>
      <c r="M18" s="43"/>
      <c r="N18" s="43"/>
      <c r="O18" s="66"/>
      <c r="P18" s="65"/>
      <c r="Q18" s="65"/>
      <c r="R18" s="65"/>
      <c r="S18" s="65"/>
    </row>
    <row r="19" spans="1:19" s="74" customFormat="1" ht="12.75">
      <c r="A19" s="40"/>
      <c r="B19" s="40"/>
      <c r="C19" s="43"/>
      <c r="D19" s="43"/>
      <c r="E19" s="43"/>
      <c r="F19" s="82"/>
      <c r="G19" s="43"/>
      <c r="H19" s="43"/>
      <c r="I19" s="43"/>
      <c r="J19" s="44"/>
      <c r="K19" s="44"/>
      <c r="L19" s="43"/>
      <c r="M19" s="43"/>
      <c r="N19" s="43"/>
      <c r="O19" s="66"/>
      <c r="P19" s="65"/>
      <c r="Q19" s="65"/>
      <c r="R19" s="65"/>
      <c r="S19" s="65"/>
    </row>
    <row r="20" spans="1:19" ht="12.75">
      <c r="A20" s="44" t="s">
        <v>694</v>
      </c>
      <c r="B20" s="43"/>
      <c r="C20" s="43"/>
      <c r="D20" s="43"/>
      <c r="E20" s="43"/>
      <c r="F20" s="82"/>
      <c r="G20" s="43"/>
      <c r="H20" s="43"/>
      <c r="I20" s="43"/>
      <c r="J20" s="44"/>
      <c r="K20" s="44"/>
      <c r="L20" s="43"/>
      <c r="M20" s="43"/>
      <c r="N20" s="43"/>
      <c r="O20" s="31"/>
      <c r="P20" s="9"/>
      <c r="Q20" s="9"/>
      <c r="R20" s="9"/>
      <c r="S20" s="9"/>
    </row>
    <row r="21" spans="1:19" ht="12.75">
      <c r="A21" s="42" t="s">
        <v>128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9"/>
      <c r="P21" s="9"/>
      <c r="Q21" s="9"/>
      <c r="R21" s="9"/>
      <c r="S21" s="9"/>
    </row>
    <row r="22" spans="1:19" ht="12.75">
      <c r="A22" s="40" t="s">
        <v>517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9"/>
      <c r="P22" s="9"/>
      <c r="Q22" s="9"/>
      <c r="R22" s="9"/>
      <c r="S22" s="9"/>
    </row>
    <row r="23" spans="1:19" ht="12.75">
      <c r="A23" s="40" t="s">
        <v>518</v>
      </c>
      <c r="B23" s="40"/>
      <c r="C23" s="40">
        <v>12.93</v>
      </c>
      <c r="D23" s="40" t="s">
        <v>277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9"/>
      <c r="P23" s="9"/>
      <c r="Q23" s="9"/>
      <c r="R23" s="9"/>
      <c r="S23" s="9"/>
    </row>
    <row r="24" spans="1:19" ht="12.75">
      <c r="A24" s="40" t="s">
        <v>519</v>
      </c>
      <c r="B24" s="40"/>
      <c r="C24" s="40">
        <v>13.55</v>
      </c>
      <c r="D24" s="40" t="s">
        <v>277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9"/>
      <c r="P24" s="9"/>
      <c r="Q24" s="9"/>
      <c r="R24" s="9"/>
      <c r="S24" s="9"/>
    </row>
    <row r="25" spans="1:19" ht="12.75">
      <c r="A25" s="40" t="s">
        <v>221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9"/>
      <c r="P25" s="9"/>
      <c r="Q25" s="9"/>
      <c r="R25" s="9"/>
      <c r="S25" s="9"/>
    </row>
    <row r="26" spans="1:19" ht="12.75">
      <c r="A26" s="40" t="s">
        <v>226</v>
      </c>
      <c r="B26" s="40"/>
      <c r="C26" s="43">
        <f>(D15+D16)*0.3*0.3</f>
        <v>1.7478</v>
      </c>
      <c r="D26" s="40" t="s">
        <v>277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9"/>
      <c r="P26" s="9"/>
      <c r="Q26" s="9"/>
      <c r="R26" s="9"/>
      <c r="S26" s="9"/>
    </row>
    <row r="27" spans="1:19" ht="12.75">
      <c r="A27" s="42"/>
      <c r="B27" s="40"/>
      <c r="C27" s="40"/>
      <c r="D27" s="40"/>
      <c r="E27" s="40" t="s">
        <v>520</v>
      </c>
      <c r="F27" s="40"/>
      <c r="G27" s="40"/>
      <c r="H27" s="40"/>
      <c r="I27" s="40"/>
      <c r="J27" s="44">
        <f>C23+C24+C26</f>
        <v>28.227800000000002</v>
      </c>
      <c r="K27" s="42" t="s">
        <v>277</v>
      </c>
      <c r="L27" s="40"/>
      <c r="M27" s="40"/>
      <c r="N27" s="40"/>
      <c r="O27" s="9"/>
      <c r="P27" s="9"/>
      <c r="Q27" s="9"/>
      <c r="R27" s="9"/>
      <c r="S27" s="9"/>
    </row>
    <row r="28" spans="1:19" ht="12.75">
      <c r="A28" s="42" t="s">
        <v>691</v>
      </c>
      <c r="B28" s="40"/>
      <c r="C28" s="40"/>
      <c r="D28" s="40"/>
      <c r="E28" s="40"/>
      <c r="F28" s="40"/>
      <c r="G28" s="40"/>
      <c r="H28" s="40"/>
      <c r="I28" s="40"/>
      <c r="J28" s="43"/>
      <c r="K28" s="40"/>
      <c r="L28" s="40"/>
      <c r="M28" s="40"/>
      <c r="N28" s="40"/>
      <c r="O28" s="65"/>
      <c r="P28" s="9"/>
      <c r="Q28" s="9"/>
      <c r="R28" s="9"/>
      <c r="S28" s="9"/>
    </row>
    <row r="29" spans="1:19" ht="12.75">
      <c r="A29" s="40" t="s">
        <v>499</v>
      </c>
      <c r="B29" s="40"/>
      <c r="C29" s="40"/>
      <c r="D29" s="40"/>
      <c r="E29" s="40"/>
      <c r="F29" s="40"/>
      <c r="G29" s="40"/>
      <c r="H29" s="40"/>
      <c r="I29" s="40"/>
      <c r="J29" s="43"/>
      <c r="K29" s="40"/>
      <c r="L29" s="40"/>
      <c r="M29" s="40"/>
      <c r="N29" s="40"/>
      <c r="O29" s="9"/>
      <c r="P29" s="9"/>
      <c r="Q29" s="9"/>
      <c r="R29" s="9"/>
      <c r="S29" s="9"/>
    </row>
    <row r="30" spans="1:19" ht="12.75">
      <c r="A30" s="40" t="s">
        <v>521</v>
      </c>
      <c r="B30" s="43"/>
      <c r="C30" s="43">
        <v>27</v>
      </c>
      <c r="D30" s="43" t="s">
        <v>522</v>
      </c>
      <c r="E30" s="43"/>
      <c r="F30" s="43"/>
      <c r="G30" s="43"/>
      <c r="H30" s="43"/>
      <c r="I30" s="43"/>
      <c r="J30" s="43"/>
      <c r="K30" s="43"/>
      <c r="L30" s="43"/>
      <c r="M30" s="40"/>
      <c r="N30" s="40"/>
      <c r="O30" s="9"/>
      <c r="P30" s="9"/>
      <c r="Q30" s="9"/>
      <c r="R30" s="9"/>
      <c r="S30" s="9"/>
    </row>
    <row r="31" spans="1:19" ht="12.75">
      <c r="A31" s="40"/>
      <c r="B31" s="43"/>
      <c r="C31" s="43">
        <v>0.8</v>
      </c>
      <c r="D31" s="43" t="s">
        <v>278</v>
      </c>
      <c r="E31" s="43"/>
      <c r="F31" s="43"/>
      <c r="G31" s="43"/>
      <c r="H31" s="43"/>
      <c r="I31" s="43"/>
      <c r="J31" s="43"/>
      <c r="K31" s="43"/>
      <c r="L31" s="43"/>
      <c r="M31" s="43"/>
      <c r="N31" s="40"/>
      <c r="O31" s="9"/>
      <c r="P31" s="9"/>
      <c r="Q31" s="9"/>
      <c r="R31" s="9"/>
      <c r="S31" s="9"/>
    </row>
    <row r="32" spans="1:19" ht="12.75">
      <c r="A32" s="40"/>
      <c r="B32" s="43"/>
      <c r="C32" s="43">
        <v>0.8</v>
      </c>
      <c r="D32" s="43" t="s">
        <v>278</v>
      </c>
      <c r="E32" s="43"/>
      <c r="F32" s="43"/>
      <c r="G32" s="43"/>
      <c r="H32" s="43"/>
      <c r="I32" s="43"/>
      <c r="J32" s="43"/>
      <c r="K32" s="43"/>
      <c r="L32" s="43"/>
      <c r="M32" s="43"/>
      <c r="N32" s="40"/>
      <c r="O32" s="9"/>
      <c r="P32" s="9"/>
      <c r="Q32" s="9"/>
      <c r="R32" s="9"/>
      <c r="S32" s="9"/>
    </row>
    <row r="33" spans="1:19" ht="12.75">
      <c r="A33" s="40"/>
      <c r="B33" s="43"/>
      <c r="C33" s="44">
        <f>C30*C31*C32</f>
        <v>17.28</v>
      </c>
      <c r="D33" s="44" t="s">
        <v>276</v>
      </c>
      <c r="E33" s="43"/>
      <c r="F33" s="43"/>
      <c r="G33" s="43"/>
      <c r="H33" s="43"/>
      <c r="I33" s="43"/>
      <c r="J33" s="43"/>
      <c r="K33" s="43"/>
      <c r="L33" s="43"/>
      <c r="M33" s="43"/>
      <c r="N33" s="40"/>
      <c r="O33" s="9"/>
      <c r="P33" s="9"/>
      <c r="Q33" s="9"/>
      <c r="R33" s="9"/>
      <c r="S33" s="9"/>
    </row>
    <row r="34" spans="1:19" ht="6.75" customHeight="1">
      <c r="A34" s="40"/>
      <c r="B34" s="43"/>
      <c r="C34" s="44"/>
      <c r="D34" s="44"/>
      <c r="E34" s="43"/>
      <c r="F34" s="43"/>
      <c r="G34" s="43"/>
      <c r="H34" s="43"/>
      <c r="I34" s="43"/>
      <c r="J34" s="43"/>
      <c r="K34" s="43"/>
      <c r="L34" s="43"/>
      <c r="M34" s="43"/>
      <c r="N34" s="40"/>
      <c r="O34" s="9"/>
      <c r="P34" s="9"/>
      <c r="Q34" s="9"/>
      <c r="R34" s="9"/>
      <c r="S34" s="9"/>
    </row>
    <row r="35" spans="1:19" ht="12.75">
      <c r="A35" s="40" t="s">
        <v>523</v>
      </c>
      <c r="B35" s="43"/>
      <c r="C35" s="43">
        <v>7</v>
      </c>
      <c r="D35" s="43" t="s">
        <v>522</v>
      </c>
      <c r="E35" s="43"/>
      <c r="F35" s="43"/>
      <c r="G35" s="43"/>
      <c r="H35" s="43"/>
      <c r="I35" s="43"/>
      <c r="J35" s="43"/>
      <c r="K35" s="43"/>
      <c r="L35" s="43"/>
      <c r="M35" s="43"/>
      <c r="N35" s="40"/>
      <c r="O35" s="9"/>
      <c r="P35" s="9"/>
      <c r="Q35" s="9"/>
      <c r="R35" s="9"/>
      <c r="S35" s="9"/>
    </row>
    <row r="36" spans="1:19" ht="12.75">
      <c r="A36" s="40"/>
      <c r="B36" s="43"/>
      <c r="C36" s="43">
        <v>1</v>
      </c>
      <c r="D36" s="43" t="s">
        <v>278</v>
      </c>
      <c r="E36" s="43"/>
      <c r="F36" s="43"/>
      <c r="G36" s="43"/>
      <c r="H36" s="43"/>
      <c r="I36" s="43"/>
      <c r="J36" s="43"/>
      <c r="K36" s="43"/>
      <c r="L36" s="43"/>
      <c r="M36" s="43"/>
      <c r="N36" s="40"/>
      <c r="O36" s="9"/>
      <c r="P36" s="9"/>
      <c r="Q36" s="9"/>
      <c r="R36" s="9"/>
      <c r="S36" s="9"/>
    </row>
    <row r="37" spans="1:19" ht="12.75">
      <c r="A37" s="40"/>
      <c r="B37" s="43"/>
      <c r="C37" s="43">
        <v>1</v>
      </c>
      <c r="D37" s="43" t="s">
        <v>278</v>
      </c>
      <c r="E37" s="43"/>
      <c r="F37" s="43"/>
      <c r="G37" s="43"/>
      <c r="H37" s="43"/>
      <c r="I37" s="43"/>
      <c r="J37" s="43"/>
      <c r="K37" s="43"/>
      <c r="L37" s="43"/>
      <c r="M37" s="43"/>
      <c r="N37" s="40"/>
      <c r="O37" s="9"/>
      <c r="P37" s="9"/>
      <c r="Q37" s="9"/>
      <c r="R37" s="9"/>
      <c r="S37" s="9"/>
    </row>
    <row r="38" spans="1:19" ht="12.75">
      <c r="A38" s="100"/>
      <c r="B38" s="40"/>
      <c r="C38" s="44">
        <f>C35*C36*C37</f>
        <v>7</v>
      </c>
      <c r="D38" s="44" t="s">
        <v>276</v>
      </c>
      <c r="E38" s="43"/>
      <c r="F38" s="43"/>
      <c r="G38" s="43"/>
      <c r="H38" s="43"/>
      <c r="I38" s="43"/>
      <c r="J38" s="43"/>
      <c r="K38" s="44"/>
      <c r="L38" s="43"/>
      <c r="M38" s="43"/>
      <c r="N38" s="40"/>
      <c r="O38" s="9"/>
      <c r="P38" s="9"/>
      <c r="Q38" s="9"/>
      <c r="R38" s="9"/>
      <c r="S38" s="9"/>
    </row>
    <row r="39" spans="1:19" ht="6.75" customHeight="1">
      <c r="A39" s="100"/>
      <c r="B39" s="40"/>
      <c r="C39" s="40"/>
      <c r="D39" s="40"/>
      <c r="E39" s="40"/>
      <c r="F39" s="40"/>
      <c r="G39" s="43"/>
      <c r="H39" s="43"/>
      <c r="I39" s="43"/>
      <c r="J39" s="44"/>
      <c r="K39" s="42"/>
      <c r="L39" s="40"/>
      <c r="M39" s="40"/>
      <c r="N39" s="40"/>
      <c r="O39" s="9"/>
      <c r="P39" s="9"/>
      <c r="Q39" s="9"/>
      <c r="R39" s="9"/>
      <c r="S39" s="9"/>
    </row>
    <row r="40" spans="1:19" ht="12.75">
      <c r="A40" s="40" t="s">
        <v>524</v>
      </c>
      <c r="B40" s="43"/>
      <c r="C40" s="43">
        <v>2</v>
      </c>
      <c r="D40" s="43" t="s">
        <v>522</v>
      </c>
      <c r="E40" s="40"/>
      <c r="F40" s="40"/>
      <c r="G40" s="43"/>
      <c r="H40" s="43"/>
      <c r="I40" s="43"/>
      <c r="J40" s="44"/>
      <c r="K40" s="42"/>
      <c r="L40" s="40"/>
      <c r="M40" s="40"/>
      <c r="N40" s="40"/>
      <c r="O40" s="9"/>
      <c r="P40" s="9"/>
      <c r="Q40" s="9"/>
      <c r="R40" s="9"/>
      <c r="S40" s="9"/>
    </row>
    <row r="41" spans="1:19" ht="12.75">
      <c r="A41" s="40"/>
      <c r="B41" s="43"/>
      <c r="C41" s="43">
        <v>0.7</v>
      </c>
      <c r="D41" s="43" t="s">
        <v>278</v>
      </c>
      <c r="E41" s="40"/>
      <c r="F41" s="40"/>
      <c r="G41" s="43"/>
      <c r="H41" s="43"/>
      <c r="I41" s="43"/>
      <c r="J41" s="44"/>
      <c r="K41" s="42"/>
      <c r="L41" s="40"/>
      <c r="M41" s="40"/>
      <c r="N41" s="40"/>
      <c r="O41" s="9"/>
      <c r="P41" s="9"/>
      <c r="Q41" s="9"/>
      <c r="R41" s="9"/>
      <c r="S41" s="9"/>
    </row>
    <row r="42" spans="1:19" ht="12.75">
      <c r="A42" s="40"/>
      <c r="B42" s="43"/>
      <c r="C42" s="43">
        <v>0.7</v>
      </c>
      <c r="D42" s="43" t="s">
        <v>278</v>
      </c>
      <c r="E42" s="40"/>
      <c r="F42" s="40"/>
      <c r="G42" s="43"/>
      <c r="H42" s="43"/>
      <c r="I42" s="43"/>
      <c r="J42" s="44"/>
      <c r="K42" s="42"/>
      <c r="L42" s="40"/>
      <c r="M42" s="40"/>
      <c r="N42" s="40"/>
      <c r="O42" s="9"/>
      <c r="P42" s="9"/>
      <c r="Q42" s="9"/>
      <c r="R42" s="9"/>
      <c r="S42" s="9"/>
    </row>
    <row r="43" spans="1:19" ht="12.75">
      <c r="A43" s="100"/>
      <c r="B43" s="40"/>
      <c r="C43" s="44">
        <f>C40*C41*C42</f>
        <v>0.9799999999999999</v>
      </c>
      <c r="D43" s="44" t="s">
        <v>276</v>
      </c>
      <c r="E43" s="40"/>
      <c r="F43" s="40"/>
      <c r="G43" s="43"/>
      <c r="H43" s="43"/>
      <c r="I43" s="43"/>
      <c r="J43" s="44"/>
      <c r="K43" s="42"/>
      <c r="L43" s="40"/>
      <c r="M43" s="40"/>
      <c r="N43" s="40"/>
      <c r="O43" s="9"/>
      <c r="P43" s="9"/>
      <c r="Q43" s="9"/>
      <c r="R43" s="9"/>
      <c r="S43" s="9"/>
    </row>
    <row r="44" spans="1:19" ht="12.75">
      <c r="A44" s="73"/>
      <c r="B44" s="40"/>
      <c r="C44" s="40"/>
      <c r="D44" s="40"/>
      <c r="E44" s="40" t="s">
        <v>520</v>
      </c>
      <c r="F44" s="40"/>
      <c r="G44" s="43"/>
      <c r="H44" s="43"/>
      <c r="I44" s="43"/>
      <c r="J44" s="44">
        <f>C33+C38+C43</f>
        <v>25.26</v>
      </c>
      <c r="K44" s="42" t="s">
        <v>276</v>
      </c>
      <c r="L44" s="40"/>
      <c r="M44" s="40"/>
      <c r="N44" s="40"/>
      <c r="O44" s="9"/>
      <c r="P44" s="9"/>
      <c r="Q44" s="9"/>
      <c r="R44" s="9"/>
      <c r="S44" s="9"/>
    </row>
    <row r="45" spans="1:19" ht="12.75">
      <c r="A45" s="61" t="s">
        <v>129</v>
      </c>
      <c r="B45" s="40"/>
      <c r="C45" s="40"/>
      <c r="D45" s="40"/>
      <c r="E45" s="40"/>
      <c r="F45" s="40"/>
      <c r="G45" s="43"/>
      <c r="H45" s="43"/>
      <c r="I45" s="43"/>
      <c r="J45" s="44"/>
      <c r="K45" s="42"/>
      <c r="L45" s="40"/>
      <c r="M45" s="40"/>
      <c r="N45" s="40"/>
      <c r="O45" s="9"/>
      <c r="P45" s="9"/>
      <c r="Q45" s="9"/>
      <c r="R45" s="9"/>
      <c r="S45" s="9"/>
    </row>
    <row r="46" spans="1:19" ht="12.75">
      <c r="A46" s="64" t="s">
        <v>130</v>
      </c>
      <c r="B46" s="40"/>
      <c r="C46" s="40"/>
      <c r="D46" s="40"/>
      <c r="E46" s="40"/>
      <c r="F46" s="40"/>
      <c r="G46" s="40"/>
      <c r="H46" s="40"/>
      <c r="I46" s="40"/>
      <c r="J46" s="44"/>
      <c r="K46" s="42"/>
      <c r="L46" s="40"/>
      <c r="M46" s="40"/>
      <c r="N46" s="40"/>
      <c r="O46" s="65"/>
      <c r="P46" s="9"/>
      <c r="Q46" s="9"/>
      <c r="R46" s="9"/>
      <c r="S46" s="9"/>
    </row>
    <row r="47" spans="1:19" ht="12.75">
      <c r="A47" s="64" t="s">
        <v>512</v>
      </c>
      <c r="B47" s="40"/>
      <c r="C47" s="43">
        <v>0.15</v>
      </c>
      <c r="D47" s="40" t="s">
        <v>278</v>
      </c>
      <c r="E47" s="40"/>
      <c r="F47" s="40"/>
      <c r="G47" s="40"/>
      <c r="H47" s="40"/>
      <c r="I47" s="40"/>
      <c r="J47" s="44"/>
      <c r="K47" s="42"/>
      <c r="L47" s="40"/>
      <c r="M47" s="40"/>
      <c r="N47" s="40"/>
      <c r="O47" s="65"/>
      <c r="P47" s="9"/>
      <c r="Q47" s="9"/>
      <c r="R47" s="9"/>
      <c r="S47" s="9"/>
    </row>
    <row r="48" spans="1:19" ht="12.75">
      <c r="A48" s="64" t="s">
        <v>525</v>
      </c>
      <c r="B48" s="40"/>
      <c r="C48" s="43">
        <f>J10</f>
        <v>461.21</v>
      </c>
      <c r="D48" s="40" t="s">
        <v>276</v>
      </c>
      <c r="E48" s="40"/>
      <c r="F48" s="40"/>
      <c r="G48" s="40"/>
      <c r="H48" s="40"/>
      <c r="I48" s="40"/>
      <c r="J48" s="44"/>
      <c r="K48" s="42"/>
      <c r="L48" s="40"/>
      <c r="M48" s="40"/>
      <c r="N48" s="40"/>
      <c r="O48" s="65"/>
      <c r="P48" s="9"/>
      <c r="Q48" s="9"/>
      <c r="R48" s="9"/>
      <c r="S48" s="9"/>
    </row>
    <row r="49" spans="1:19" ht="12.75">
      <c r="A49" s="64"/>
      <c r="B49" s="40"/>
      <c r="C49" s="43"/>
      <c r="D49" s="40"/>
      <c r="E49" s="40" t="s">
        <v>526</v>
      </c>
      <c r="F49" s="40"/>
      <c r="G49" s="43">
        <f>C48*C47</f>
        <v>69.1815</v>
      </c>
      <c r="H49" s="40" t="s">
        <v>277</v>
      </c>
      <c r="I49" s="40"/>
      <c r="J49" s="44"/>
      <c r="K49" s="42"/>
      <c r="L49" s="40"/>
      <c r="M49" s="40"/>
      <c r="N49" s="40"/>
      <c r="O49" s="65"/>
      <c r="P49" s="9"/>
      <c r="Q49" s="9"/>
      <c r="R49" s="9"/>
      <c r="S49" s="9"/>
    </row>
    <row r="50" spans="1:19" ht="12.75">
      <c r="A50" s="64" t="s">
        <v>131</v>
      </c>
      <c r="B50" s="40"/>
      <c r="C50" s="43"/>
      <c r="D50" s="40"/>
      <c r="E50" s="40"/>
      <c r="F50" s="40"/>
      <c r="G50" s="40"/>
      <c r="H50" s="40"/>
      <c r="I50" s="40"/>
      <c r="J50" s="44"/>
      <c r="K50" s="42"/>
      <c r="L50" s="40"/>
      <c r="M50" s="40"/>
      <c r="N50" s="40"/>
      <c r="O50" s="65"/>
      <c r="P50" s="9"/>
      <c r="Q50" s="9"/>
      <c r="R50" s="9"/>
      <c r="S50" s="9"/>
    </row>
    <row r="51" spans="1:19" ht="12.75">
      <c r="A51" s="64" t="s">
        <v>527</v>
      </c>
      <c r="B51" s="40"/>
      <c r="C51" s="43"/>
      <c r="D51" s="40"/>
      <c r="E51" s="40"/>
      <c r="F51" s="40"/>
      <c r="G51" s="40"/>
      <c r="H51" s="40"/>
      <c r="I51" s="40"/>
      <c r="J51" s="44"/>
      <c r="K51" s="42"/>
      <c r="L51" s="40"/>
      <c r="M51" s="40"/>
      <c r="N51" s="40"/>
      <c r="O51" s="65"/>
      <c r="P51" s="9"/>
      <c r="Q51" s="9"/>
      <c r="R51" s="9"/>
      <c r="S51" s="9"/>
    </row>
    <row r="52" spans="1:19" ht="12.75">
      <c r="A52" s="64" t="s">
        <v>510</v>
      </c>
      <c r="B52" s="43">
        <v>11.9</v>
      </c>
      <c r="C52" s="43" t="s">
        <v>278</v>
      </c>
      <c r="D52" s="43"/>
      <c r="E52" s="43"/>
      <c r="F52" s="43"/>
      <c r="G52" s="43"/>
      <c r="H52" s="43"/>
      <c r="I52" s="43"/>
      <c r="J52" s="44"/>
      <c r="K52" s="44"/>
      <c r="L52" s="40"/>
      <c r="M52" s="40"/>
      <c r="N52" s="40"/>
      <c r="O52" s="65"/>
      <c r="P52" s="9"/>
      <c r="Q52" s="9"/>
      <c r="R52" s="9"/>
      <c r="S52" s="9"/>
    </row>
    <row r="53" spans="1:19" ht="12.75">
      <c r="A53" s="64" t="s">
        <v>511</v>
      </c>
      <c r="B53" s="43">
        <v>3.76</v>
      </c>
      <c r="C53" s="43" t="s">
        <v>278</v>
      </c>
      <c r="D53" s="43"/>
      <c r="E53" s="43"/>
      <c r="F53" s="43"/>
      <c r="G53" s="43"/>
      <c r="H53" s="43"/>
      <c r="I53" s="43"/>
      <c r="J53" s="44"/>
      <c r="K53" s="44"/>
      <c r="L53" s="40"/>
      <c r="M53" s="40"/>
      <c r="N53" s="40"/>
      <c r="O53" s="65"/>
      <c r="P53" s="9"/>
      <c r="Q53" s="9"/>
      <c r="R53" s="9"/>
      <c r="S53" s="9"/>
    </row>
    <row r="54" spans="1:19" ht="12.75">
      <c r="A54" s="64" t="s">
        <v>528</v>
      </c>
      <c r="B54" s="43">
        <v>0.45</v>
      </c>
      <c r="C54" s="43" t="s">
        <v>278</v>
      </c>
      <c r="D54" s="43"/>
      <c r="E54" s="43"/>
      <c r="F54" s="43"/>
      <c r="G54" s="43"/>
      <c r="H54" s="43"/>
      <c r="I54" s="43"/>
      <c r="J54" s="44"/>
      <c r="K54" s="44"/>
      <c r="L54" s="40"/>
      <c r="M54" s="40"/>
      <c r="N54" s="40"/>
      <c r="O54" s="65"/>
      <c r="P54" s="9"/>
      <c r="Q54" s="9"/>
      <c r="R54" s="9"/>
      <c r="S54" s="9"/>
    </row>
    <row r="55" spans="1:19" ht="12.75">
      <c r="A55" s="64"/>
      <c r="B55" s="43"/>
      <c r="C55" s="43"/>
      <c r="D55" s="43"/>
      <c r="E55" s="40" t="s">
        <v>526</v>
      </c>
      <c r="F55" s="40"/>
      <c r="G55" s="43">
        <f>B52*B53*B54</f>
        <v>20.134800000000002</v>
      </c>
      <c r="H55" s="40" t="s">
        <v>42</v>
      </c>
      <c r="I55" s="40"/>
      <c r="J55" s="44"/>
      <c r="K55" s="42"/>
      <c r="L55" s="40"/>
      <c r="M55" s="40"/>
      <c r="N55" s="40"/>
      <c r="O55" s="65"/>
      <c r="P55" s="9"/>
      <c r="Q55" s="9"/>
      <c r="R55" s="9"/>
      <c r="S55" s="9"/>
    </row>
    <row r="56" spans="1:19" ht="12.75">
      <c r="A56" s="64"/>
      <c r="B56" s="43"/>
      <c r="C56" s="43"/>
      <c r="D56" s="43"/>
      <c r="E56" s="43"/>
      <c r="F56" s="43"/>
      <c r="G56" s="43" t="s">
        <v>502</v>
      </c>
      <c r="H56" s="43"/>
      <c r="I56" s="43"/>
      <c r="J56" s="44">
        <f>G49+G55</f>
        <v>89.3163</v>
      </c>
      <c r="K56" s="42" t="s">
        <v>277</v>
      </c>
      <c r="L56" s="40"/>
      <c r="M56" s="40"/>
      <c r="N56" s="40"/>
      <c r="O56" s="65"/>
      <c r="P56" s="9"/>
      <c r="Q56" s="9"/>
      <c r="R56" s="9"/>
      <c r="S56" s="9"/>
    </row>
    <row r="57" spans="1:19" ht="12.75">
      <c r="A57" s="42" t="s">
        <v>132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9"/>
      <c r="P57" s="9"/>
      <c r="Q57" s="9"/>
      <c r="R57" s="9"/>
      <c r="S57" s="9"/>
    </row>
    <row r="58" spans="1:19" ht="12.75">
      <c r="A58" s="61" t="s">
        <v>133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9"/>
      <c r="P58" s="9"/>
      <c r="Q58" s="9"/>
      <c r="R58" s="9"/>
      <c r="S58" s="9"/>
    </row>
    <row r="59" spans="1:19" ht="12.75" customHeight="1">
      <c r="A59" s="40" t="s">
        <v>529</v>
      </c>
      <c r="B59" s="40"/>
      <c r="C59" s="40"/>
      <c r="D59" s="40"/>
      <c r="E59" s="40"/>
      <c r="F59" s="40">
        <v>13.46</v>
      </c>
      <c r="G59" s="40" t="s">
        <v>277</v>
      </c>
      <c r="H59" s="40"/>
      <c r="I59" s="40"/>
      <c r="J59" s="44"/>
      <c r="K59" s="42"/>
      <c r="L59" s="40"/>
      <c r="M59" s="69"/>
      <c r="N59" s="72"/>
      <c r="O59" s="40"/>
      <c r="P59" s="9"/>
      <c r="Q59" s="9"/>
      <c r="R59" s="9"/>
      <c r="S59" s="9"/>
    </row>
    <row r="60" spans="1:19" ht="12.75" customHeight="1">
      <c r="A60" s="40" t="s">
        <v>530</v>
      </c>
      <c r="B60" s="40"/>
      <c r="C60" s="40"/>
      <c r="D60" s="40"/>
      <c r="E60" s="40"/>
      <c r="F60" s="40">
        <v>13.55</v>
      </c>
      <c r="G60" s="40" t="s">
        <v>277</v>
      </c>
      <c r="H60" s="40"/>
      <c r="I60" s="40"/>
      <c r="J60" s="44"/>
      <c r="K60" s="42"/>
      <c r="L60" s="40"/>
      <c r="M60" s="40"/>
      <c r="N60" s="40"/>
      <c r="O60" s="40"/>
      <c r="P60" s="9"/>
      <c r="Q60" s="9"/>
      <c r="R60" s="9"/>
      <c r="S60" s="9"/>
    </row>
    <row r="61" spans="1:19" ht="12.75" customHeight="1">
      <c r="A61" s="40" t="s">
        <v>531</v>
      </c>
      <c r="B61" s="40"/>
      <c r="C61" s="40"/>
      <c r="D61" s="40"/>
      <c r="E61" s="40"/>
      <c r="F61" s="40">
        <v>10</v>
      </c>
      <c r="G61" s="40" t="s">
        <v>277</v>
      </c>
      <c r="H61" s="40"/>
      <c r="I61" s="40"/>
      <c r="J61" s="44"/>
      <c r="K61" s="42"/>
      <c r="L61" s="40"/>
      <c r="M61" s="43"/>
      <c r="N61" s="40"/>
      <c r="O61" s="40"/>
      <c r="P61" s="9"/>
      <c r="Q61" s="9"/>
      <c r="R61" s="9"/>
      <c r="S61" s="9"/>
    </row>
    <row r="62" spans="1:19" ht="12.75" customHeight="1">
      <c r="A62" s="40" t="s">
        <v>532</v>
      </c>
      <c r="B62" s="40"/>
      <c r="C62" s="40"/>
      <c r="D62" s="40"/>
      <c r="E62" s="40"/>
      <c r="F62" s="40">
        <v>26</v>
      </c>
      <c r="G62" s="40" t="s">
        <v>277</v>
      </c>
      <c r="H62" s="40"/>
      <c r="I62" s="40"/>
      <c r="J62" s="44"/>
      <c r="K62" s="42"/>
      <c r="L62" s="40"/>
      <c r="M62" s="40"/>
      <c r="N62" s="40"/>
      <c r="O62" s="40"/>
      <c r="P62" s="9"/>
      <c r="Q62" s="9"/>
      <c r="R62" s="9"/>
      <c r="S62" s="9"/>
    </row>
    <row r="63" spans="1:19" ht="12.75" customHeight="1">
      <c r="A63" s="43"/>
      <c r="B63" s="40"/>
      <c r="C63" s="40"/>
      <c r="D63" s="43"/>
      <c r="E63" s="40" t="s">
        <v>533</v>
      </c>
      <c r="F63" s="40"/>
      <c r="G63" s="40"/>
      <c r="H63" s="40"/>
      <c r="I63" s="40"/>
      <c r="J63" s="44">
        <f>F59+F60+F61+F62</f>
        <v>63.010000000000005</v>
      </c>
      <c r="K63" s="42" t="s">
        <v>277</v>
      </c>
      <c r="L63" s="40"/>
      <c r="M63" s="43"/>
      <c r="N63" s="40"/>
      <c r="O63" s="40"/>
      <c r="P63" s="9"/>
      <c r="Q63" s="9"/>
      <c r="R63" s="9"/>
      <c r="S63" s="9"/>
    </row>
    <row r="64" spans="1:19" ht="12.75" customHeight="1">
      <c r="A64" s="42" t="s">
        <v>134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0"/>
      <c r="P64" s="9"/>
      <c r="Q64" s="9"/>
      <c r="R64" s="9"/>
      <c r="S64" s="9"/>
    </row>
    <row r="65" spans="1:19" ht="12.75" customHeight="1">
      <c r="A65" s="43" t="s">
        <v>0</v>
      </c>
      <c r="B65" s="40"/>
      <c r="C65" s="40"/>
      <c r="D65" s="43"/>
      <c r="E65" s="64" t="s">
        <v>284</v>
      </c>
      <c r="F65" s="61"/>
      <c r="G65" s="61"/>
      <c r="H65" s="61"/>
      <c r="I65" s="61"/>
      <c r="J65" s="61"/>
      <c r="K65" s="61"/>
      <c r="L65" s="61"/>
      <c r="M65" s="61"/>
      <c r="N65" s="61"/>
      <c r="O65" s="40"/>
      <c r="P65" s="9"/>
      <c r="Q65" s="9"/>
      <c r="R65" s="9"/>
      <c r="S65" s="9"/>
    </row>
    <row r="66" spans="1:19" ht="12.75" customHeight="1">
      <c r="A66" s="43" t="s">
        <v>535</v>
      </c>
      <c r="B66" s="40"/>
      <c r="C66" s="40"/>
      <c r="D66" s="43">
        <v>850</v>
      </c>
      <c r="E66" s="64" t="s">
        <v>284</v>
      </c>
      <c r="F66" s="40"/>
      <c r="G66" s="40"/>
      <c r="H66" s="40"/>
      <c r="I66" s="40"/>
      <c r="J66" s="43"/>
      <c r="K66" s="40"/>
      <c r="L66" s="40"/>
      <c r="M66" s="43"/>
      <c r="N66" s="40"/>
      <c r="O66" s="40"/>
      <c r="P66" s="9"/>
      <c r="Q66" s="9"/>
      <c r="R66" s="9"/>
      <c r="S66" s="9"/>
    </row>
    <row r="67" spans="1:19" ht="12.75" customHeight="1">
      <c r="A67" s="43"/>
      <c r="B67" s="40"/>
      <c r="C67" s="40"/>
      <c r="D67" s="43"/>
      <c r="E67" s="64"/>
      <c r="F67" s="40"/>
      <c r="G67" s="122" t="s">
        <v>502</v>
      </c>
      <c r="H67" s="40"/>
      <c r="I67" s="40"/>
      <c r="J67" s="44">
        <f>D65+D66</f>
        <v>850</v>
      </c>
      <c r="K67" s="42" t="s">
        <v>284</v>
      </c>
      <c r="L67" s="40"/>
      <c r="M67" s="43"/>
      <c r="N67" s="40"/>
      <c r="O67" s="40"/>
      <c r="P67" s="9"/>
      <c r="Q67" s="9"/>
      <c r="R67" s="9"/>
      <c r="S67" s="9"/>
    </row>
    <row r="68" spans="1:19" ht="12.75" customHeight="1">
      <c r="A68" s="43" t="s">
        <v>537</v>
      </c>
      <c r="B68" s="40"/>
      <c r="C68" s="40"/>
      <c r="D68" s="43">
        <v>5</v>
      </c>
      <c r="E68" s="64" t="s">
        <v>284</v>
      </c>
      <c r="F68" s="40"/>
      <c r="G68" s="40"/>
      <c r="H68" s="40"/>
      <c r="I68" s="40"/>
      <c r="J68" s="43"/>
      <c r="K68" s="40"/>
      <c r="L68" s="40"/>
      <c r="M68" s="43"/>
      <c r="N68" s="40"/>
      <c r="O68" s="40"/>
      <c r="P68" s="9"/>
      <c r="Q68" s="9"/>
      <c r="R68" s="9"/>
      <c r="S68" s="9"/>
    </row>
    <row r="69" spans="1:19" ht="12.75" customHeight="1">
      <c r="A69" s="43" t="s">
        <v>534</v>
      </c>
      <c r="B69" s="40"/>
      <c r="C69" s="40"/>
      <c r="D69" s="43">
        <v>839</v>
      </c>
      <c r="E69" s="64" t="s">
        <v>284</v>
      </c>
      <c r="F69" s="40"/>
      <c r="G69" s="40"/>
      <c r="H69" s="40"/>
      <c r="I69" s="40"/>
      <c r="J69" s="43"/>
      <c r="K69" s="40"/>
      <c r="L69" s="40"/>
      <c r="M69" s="43"/>
      <c r="N69" s="40"/>
      <c r="O69" s="40"/>
      <c r="P69" s="9"/>
      <c r="Q69" s="9"/>
      <c r="R69" s="9"/>
      <c r="S69" s="9"/>
    </row>
    <row r="70" spans="1:19" ht="12.75" customHeight="1">
      <c r="A70" s="43" t="s">
        <v>536</v>
      </c>
      <c r="B70" s="40"/>
      <c r="C70" s="40"/>
      <c r="D70" s="43">
        <v>1286</v>
      </c>
      <c r="E70" s="64" t="s">
        <v>284</v>
      </c>
      <c r="F70" s="40"/>
      <c r="G70" s="40"/>
      <c r="H70" s="40"/>
      <c r="I70" s="40"/>
      <c r="J70" s="43"/>
      <c r="K70" s="40"/>
      <c r="L70" s="40"/>
      <c r="M70" s="43"/>
      <c r="N70" s="43"/>
      <c r="O70" s="40"/>
      <c r="P70" s="9"/>
      <c r="Q70" s="9"/>
      <c r="R70" s="9"/>
      <c r="S70" s="9"/>
    </row>
    <row r="71" spans="1:19" ht="12.75" customHeight="1">
      <c r="A71" s="43" t="s">
        <v>538</v>
      </c>
      <c r="B71" s="40"/>
      <c r="C71" s="40"/>
      <c r="D71" s="43">
        <v>198</v>
      </c>
      <c r="E71" s="64" t="s">
        <v>284</v>
      </c>
      <c r="F71" s="40"/>
      <c r="G71" s="122" t="s">
        <v>502</v>
      </c>
      <c r="H71" s="40"/>
      <c r="I71" s="40"/>
      <c r="J71" s="44">
        <f>D68+D69+D70+D71</f>
        <v>2328</v>
      </c>
      <c r="K71" s="42" t="s">
        <v>284</v>
      </c>
      <c r="L71" s="40"/>
      <c r="M71" s="43"/>
      <c r="N71" s="40"/>
      <c r="O71" s="40"/>
      <c r="P71" s="9"/>
      <c r="Q71" s="9"/>
      <c r="R71" s="9"/>
      <c r="S71" s="9"/>
    </row>
    <row r="72" spans="1:19" ht="12.75" customHeight="1">
      <c r="A72" s="43"/>
      <c r="B72" s="40"/>
      <c r="C72" s="40"/>
      <c r="D72" s="43"/>
      <c r="E72" s="40"/>
      <c r="F72" s="40"/>
      <c r="G72" s="40"/>
      <c r="H72" s="40"/>
      <c r="I72" s="40"/>
      <c r="J72" s="43"/>
      <c r="K72" s="40"/>
      <c r="L72" s="40"/>
      <c r="M72" s="43"/>
      <c r="N72" s="40"/>
      <c r="O72" s="40"/>
      <c r="P72" s="9"/>
      <c r="Q72" s="9"/>
      <c r="R72" s="9"/>
      <c r="S72" s="9"/>
    </row>
    <row r="73" spans="1:19" ht="12.75">
      <c r="A73" s="42" t="s">
        <v>135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9"/>
      <c r="P73" s="9"/>
      <c r="Q73" s="9"/>
      <c r="R73" s="9"/>
      <c r="S73" s="9"/>
    </row>
    <row r="74" spans="1:19" ht="12.75">
      <c r="A74" s="64" t="s">
        <v>683</v>
      </c>
      <c r="B74" s="40"/>
      <c r="C74" s="40"/>
      <c r="D74" s="40"/>
      <c r="E74" s="43">
        <v>109.49</v>
      </c>
      <c r="F74" s="43" t="s">
        <v>276</v>
      </c>
      <c r="G74" s="40"/>
      <c r="H74" s="40"/>
      <c r="I74" s="40"/>
      <c r="J74" s="44"/>
      <c r="K74" s="42"/>
      <c r="L74" s="40"/>
      <c r="M74" s="40"/>
      <c r="N74" s="40"/>
      <c r="O74" s="9"/>
      <c r="P74" s="9"/>
      <c r="Q74" s="9"/>
      <c r="R74" s="9"/>
      <c r="S74" s="9"/>
    </row>
    <row r="75" spans="1:19" ht="12.75">
      <c r="A75" s="64" t="s">
        <v>1</v>
      </c>
      <c r="B75" s="40"/>
      <c r="C75" s="40"/>
      <c r="D75" s="40"/>
      <c r="E75" s="43">
        <v>188.55</v>
      </c>
      <c r="F75" s="43" t="s">
        <v>276</v>
      </c>
      <c r="G75" s="40"/>
      <c r="H75" s="40"/>
      <c r="I75" s="40"/>
      <c r="J75" s="44"/>
      <c r="K75" s="42"/>
      <c r="L75" s="40"/>
      <c r="M75" s="40"/>
      <c r="N75" s="40"/>
      <c r="O75" s="9"/>
      <c r="P75" s="9"/>
      <c r="Q75" s="9"/>
      <c r="R75" s="9"/>
      <c r="S75" s="9"/>
    </row>
    <row r="76" spans="1:19" ht="12.75">
      <c r="A76" s="64" t="s">
        <v>2</v>
      </c>
      <c r="B76" s="40"/>
      <c r="C76" s="40"/>
      <c r="D76" s="40"/>
      <c r="E76" s="43">
        <v>147.6</v>
      </c>
      <c r="F76" s="43" t="s">
        <v>276</v>
      </c>
      <c r="G76" s="40"/>
      <c r="H76" s="40"/>
      <c r="I76" s="40"/>
      <c r="J76" s="44"/>
      <c r="K76" s="42"/>
      <c r="L76" s="40"/>
      <c r="M76" s="40"/>
      <c r="N76" s="40"/>
      <c r="O76" s="40"/>
      <c r="P76" s="9"/>
      <c r="Q76" s="9"/>
      <c r="R76" s="9"/>
      <c r="S76" s="9"/>
    </row>
    <row r="77" spans="1:19" ht="12.75">
      <c r="A77" s="61"/>
      <c r="B77" s="40"/>
      <c r="C77" s="40"/>
      <c r="D77" s="40"/>
      <c r="E77" s="40"/>
      <c r="F77" s="40"/>
      <c r="G77" s="122" t="s">
        <v>502</v>
      </c>
      <c r="H77" s="40"/>
      <c r="I77" s="40"/>
      <c r="J77" s="44">
        <f>E74+E75+E76</f>
        <v>445.64</v>
      </c>
      <c r="K77" s="42" t="s">
        <v>276</v>
      </c>
      <c r="L77" s="40"/>
      <c r="M77" s="40"/>
      <c r="N77" s="40"/>
      <c r="O77" s="40"/>
      <c r="P77" s="9"/>
      <c r="Q77" s="9"/>
      <c r="R77" s="9"/>
      <c r="S77" s="9"/>
    </row>
    <row r="78" spans="1:19" ht="12.75">
      <c r="A78" s="61"/>
      <c r="B78" s="40"/>
      <c r="C78" s="40"/>
      <c r="D78" s="40"/>
      <c r="E78" s="40"/>
      <c r="F78" s="40"/>
      <c r="G78" s="40"/>
      <c r="H78" s="40"/>
      <c r="I78" s="40"/>
      <c r="J78" s="44"/>
      <c r="K78" s="42"/>
      <c r="L78" s="40"/>
      <c r="M78" s="40"/>
      <c r="N78" s="40"/>
      <c r="O78" s="40"/>
      <c r="P78" s="9"/>
      <c r="Q78" s="9"/>
      <c r="R78" s="9"/>
      <c r="S78" s="9"/>
    </row>
    <row r="79" spans="1:19" ht="12.75">
      <c r="A79" s="42" t="s">
        <v>136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0"/>
      <c r="P79" s="9"/>
      <c r="Q79" s="32"/>
      <c r="R79" s="9"/>
      <c r="S79" s="9"/>
    </row>
    <row r="80" spans="1:19" ht="12.75">
      <c r="A80" s="64" t="s">
        <v>6</v>
      </c>
      <c r="B80" s="40"/>
      <c r="C80" s="40"/>
      <c r="D80" s="40"/>
      <c r="E80" s="40"/>
      <c r="F80" s="40">
        <v>44.86</v>
      </c>
      <c r="G80" s="40" t="s">
        <v>276</v>
      </c>
      <c r="H80" s="40"/>
      <c r="I80" s="40"/>
      <c r="J80" s="44"/>
      <c r="K80" s="42"/>
      <c r="L80" s="40"/>
      <c r="M80" s="40"/>
      <c r="N80" s="40"/>
      <c r="O80" s="40"/>
      <c r="P80" s="9"/>
      <c r="Q80" s="9"/>
      <c r="R80" s="9"/>
      <c r="S80" s="9"/>
    </row>
    <row r="81" spans="1:19" ht="12.75">
      <c r="A81" s="64" t="s">
        <v>5</v>
      </c>
      <c r="B81" s="40"/>
      <c r="C81" s="40"/>
      <c r="D81" s="40"/>
      <c r="E81" s="40"/>
      <c r="F81" s="40">
        <v>35.22</v>
      </c>
      <c r="G81" s="40" t="s">
        <v>276</v>
      </c>
      <c r="H81" s="40"/>
      <c r="I81" s="40"/>
      <c r="J81" s="44"/>
      <c r="K81" s="42"/>
      <c r="L81" s="40"/>
      <c r="M81" s="40"/>
      <c r="N81" s="40"/>
      <c r="O81" s="40"/>
      <c r="P81" s="9"/>
      <c r="Q81" s="9"/>
      <c r="R81" s="9"/>
      <c r="S81" s="9"/>
    </row>
    <row r="82" spans="1:19" ht="12.75">
      <c r="A82" s="64" t="s">
        <v>7</v>
      </c>
      <c r="B82" s="40"/>
      <c r="C82" s="40"/>
      <c r="D82" s="40"/>
      <c r="E82" s="40"/>
      <c r="F82" s="40">
        <v>13.68</v>
      </c>
      <c r="G82" s="40" t="s">
        <v>276</v>
      </c>
      <c r="H82" s="40"/>
      <c r="I82" s="40"/>
      <c r="J82" s="44"/>
      <c r="K82" s="42"/>
      <c r="L82" s="40"/>
      <c r="M82" s="40"/>
      <c r="N82" s="40"/>
      <c r="O82" s="40"/>
      <c r="P82" s="9"/>
      <c r="Q82" s="9"/>
      <c r="R82" s="9"/>
      <c r="S82" s="9"/>
    </row>
    <row r="83" spans="1:19" ht="12.75">
      <c r="A83" s="64" t="s">
        <v>18</v>
      </c>
      <c r="B83" s="64"/>
      <c r="C83" s="64"/>
      <c r="D83" s="71"/>
      <c r="E83" s="68"/>
      <c r="F83" s="43">
        <v>36.8</v>
      </c>
      <c r="G83" s="40" t="s">
        <v>276</v>
      </c>
      <c r="H83" s="40"/>
      <c r="I83" s="40"/>
      <c r="J83" s="44"/>
      <c r="K83" s="42"/>
      <c r="L83" s="40"/>
      <c r="M83" s="40"/>
      <c r="N83" s="40"/>
      <c r="O83" s="40"/>
      <c r="P83" s="9"/>
      <c r="Q83" s="9"/>
      <c r="R83" s="9"/>
      <c r="S83" s="9"/>
    </row>
    <row r="84" spans="1:19" ht="12.75">
      <c r="A84" s="64" t="s">
        <v>17</v>
      </c>
      <c r="B84" s="64"/>
      <c r="C84" s="64"/>
      <c r="D84" s="71"/>
      <c r="E84" s="68"/>
      <c r="F84" s="40">
        <v>15.37</v>
      </c>
      <c r="G84" s="40" t="s">
        <v>276</v>
      </c>
      <c r="H84" s="40"/>
      <c r="I84" s="40"/>
      <c r="J84" s="44"/>
      <c r="K84" s="42"/>
      <c r="L84" s="40"/>
      <c r="M84" s="40"/>
      <c r="N84" s="40"/>
      <c r="O84" s="40"/>
      <c r="P84" s="9"/>
      <c r="Q84" s="9"/>
      <c r="R84" s="9"/>
      <c r="S84" s="9"/>
    </row>
    <row r="85" spans="1:19" ht="12.75">
      <c r="A85" s="64" t="s">
        <v>220</v>
      </c>
      <c r="B85" s="64"/>
      <c r="C85" s="64"/>
      <c r="D85" s="71"/>
      <c r="E85" s="68"/>
      <c r="F85" s="40">
        <v>10.87</v>
      </c>
      <c r="G85" s="40" t="s">
        <v>276</v>
      </c>
      <c r="H85" s="40"/>
      <c r="I85" s="40"/>
      <c r="J85" s="44"/>
      <c r="K85" s="42"/>
      <c r="L85" s="40"/>
      <c r="M85" s="40"/>
      <c r="N85" s="40"/>
      <c r="O85" s="40"/>
      <c r="P85" s="9"/>
      <c r="Q85" s="9"/>
      <c r="R85" s="9"/>
      <c r="S85" s="9"/>
    </row>
    <row r="86" spans="1:19" ht="12.75">
      <c r="A86" s="64" t="s">
        <v>4</v>
      </c>
      <c r="B86" s="40"/>
      <c r="C86" s="40"/>
      <c r="D86" s="40"/>
      <c r="E86" s="40"/>
      <c r="F86" s="40"/>
      <c r="G86" s="40"/>
      <c r="H86" s="40" t="s">
        <v>502</v>
      </c>
      <c r="I86" s="40"/>
      <c r="J86" s="44">
        <f>F80+F81+F82+F83+F84+F85</f>
        <v>156.8</v>
      </c>
      <c r="K86" s="42" t="s">
        <v>276</v>
      </c>
      <c r="L86" s="40"/>
      <c r="M86" s="40"/>
      <c r="N86" s="40"/>
      <c r="O86" s="40"/>
      <c r="P86" s="9"/>
      <c r="Q86" s="9"/>
      <c r="R86" s="9"/>
      <c r="S86" s="9"/>
    </row>
    <row r="87" spans="1:19" ht="12.75">
      <c r="A87" s="61"/>
      <c r="B87" s="40"/>
      <c r="C87" s="40"/>
      <c r="D87" s="40"/>
      <c r="E87" s="40"/>
      <c r="F87" s="40"/>
      <c r="G87" s="40"/>
      <c r="H87" s="40"/>
      <c r="I87" s="40"/>
      <c r="J87" s="44"/>
      <c r="K87" s="42"/>
      <c r="L87" s="40"/>
      <c r="M87" s="40"/>
      <c r="N87" s="40"/>
      <c r="O87" s="40"/>
      <c r="P87" s="9"/>
      <c r="Q87" s="9"/>
      <c r="R87" s="9"/>
      <c r="S87" s="9"/>
    </row>
    <row r="88" spans="1:19" ht="12.75">
      <c r="A88" s="42" t="s">
        <v>137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9"/>
      <c r="P88" s="9"/>
      <c r="Q88" s="9"/>
      <c r="R88" s="9"/>
      <c r="S88" s="9"/>
    </row>
    <row r="89" spans="1:19" ht="12.75">
      <c r="A89" s="42" t="s">
        <v>138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9"/>
      <c r="P89" s="9"/>
      <c r="Q89" s="9"/>
      <c r="R89" s="9"/>
      <c r="S89" s="9"/>
    </row>
    <row r="90" spans="1:19" ht="12.75">
      <c r="A90" s="64" t="s">
        <v>508</v>
      </c>
      <c r="B90" s="40"/>
      <c r="C90" s="43">
        <f>J12</f>
        <v>538</v>
      </c>
      <c r="D90" s="40" t="s">
        <v>276</v>
      </c>
      <c r="E90" s="40">
        <v>2</v>
      </c>
      <c r="F90" s="40" t="s">
        <v>503</v>
      </c>
      <c r="G90" s="43">
        <f>C90*E90</f>
        <v>1076</v>
      </c>
      <c r="H90" s="40" t="s">
        <v>276</v>
      </c>
      <c r="I90" s="40"/>
      <c r="J90" s="44"/>
      <c r="K90" s="42"/>
      <c r="L90" s="40"/>
      <c r="M90" s="40"/>
      <c r="N90" s="40"/>
      <c r="O90" s="9"/>
      <c r="P90" s="9"/>
      <c r="Q90" s="9"/>
      <c r="R90" s="9"/>
      <c r="S90" s="9"/>
    </row>
    <row r="91" spans="1:19" ht="12.75">
      <c r="A91" s="64" t="s">
        <v>13</v>
      </c>
      <c r="B91" s="40"/>
      <c r="C91" s="43"/>
      <c r="D91" s="40"/>
      <c r="E91" s="40"/>
      <c r="F91" s="40"/>
      <c r="G91" s="40"/>
      <c r="H91" s="40"/>
      <c r="I91" s="40"/>
      <c r="J91" s="44"/>
      <c r="K91" s="42"/>
      <c r="L91" s="40"/>
      <c r="M91" s="40"/>
      <c r="N91" s="40"/>
      <c r="O91" s="9"/>
      <c r="P91" s="9"/>
      <c r="Q91" s="9"/>
      <c r="R91" s="9"/>
      <c r="S91" s="9"/>
    </row>
    <row r="92" spans="1:19" ht="12.75">
      <c r="A92" s="64" t="s">
        <v>8</v>
      </c>
      <c r="B92" s="40"/>
      <c r="C92" s="43">
        <v>1.3</v>
      </c>
      <c r="D92" s="40" t="s">
        <v>278</v>
      </c>
      <c r="E92" s="40" t="s">
        <v>9</v>
      </c>
      <c r="F92" s="40"/>
      <c r="G92" s="40"/>
      <c r="H92" s="40"/>
      <c r="I92" s="40"/>
      <c r="J92" s="44"/>
      <c r="K92" s="42"/>
      <c r="L92" s="40"/>
      <c r="M92" s="40"/>
      <c r="N92" s="40"/>
      <c r="O92" s="9"/>
      <c r="P92" s="9"/>
      <c r="Q92" s="9"/>
      <c r="R92" s="9"/>
      <c r="S92" s="9"/>
    </row>
    <row r="93" spans="1:19" ht="12.75">
      <c r="A93" s="71">
        <v>3.35</v>
      </c>
      <c r="B93" s="43" t="s">
        <v>278</v>
      </c>
      <c r="C93" s="43">
        <v>4.6</v>
      </c>
      <c r="D93" s="43" t="s">
        <v>278</v>
      </c>
      <c r="E93" s="43">
        <v>1</v>
      </c>
      <c r="F93" s="43" t="s">
        <v>278</v>
      </c>
      <c r="G93" s="43"/>
      <c r="H93" s="43"/>
      <c r="I93" s="43"/>
      <c r="J93" s="44"/>
      <c r="K93" s="42"/>
      <c r="L93" s="40"/>
      <c r="M93" s="40"/>
      <c r="N93" s="40"/>
      <c r="O93" s="9"/>
      <c r="P93" s="9"/>
      <c r="Q93" s="9"/>
      <c r="R93" s="9"/>
      <c r="S93" s="9"/>
    </row>
    <row r="94" spans="1:19" ht="12.75">
      <c r="A94" s="71">
        <v>2</v>
      </c>
      <c r="B94" s="43" t="s">
        <v>500</v>
      </c>
      <c r="C94" s="43">
        <v>2</v>
      </c>
      <c r="D94" s="43" t="s">
        <v>500</v>
      </c>
      <c r="E94" s="43">
        <v>2</v>
      </c>
      <c r="F94" s="43" t="s">
        <v>500</v>
      </c>
      <c r="G94" s="43"/>
      <c r="H94" s="43"/>
      <c r="I94" s="43"/>
      <c r="J94" s="44"/>
      <c r="K94" s="42"/>
      <c r="L94" s="40"/>
      <c r="M94" s="40"/>
      <c r="N94" s="40"/>
      <c r="O94" s="9"/>
      <c r="P94" s="9"/>
      <c r="Q94" s="9"/>
      <c r="R94" s="9"/>
      <c r="S94" s="9"/>
    </row>
    <row r="95" spans="1:19" ht="12.75">
      <c r="A95" s="71">
        <f>A93*A94</f>
        <v>6.7</v>
      </c>
      <c r="B95" s="43" t="s">
        <v>278</v>
      </c>
      <c r="C95" s="43">
        <f>C93*C94</f>
        <v>9.2</v>
      </c>
      <c r="D95" s="43" t="s">
        <v>278</v>
      </c>
      <c r="E95" s="43">
        <f>E94*E93</f>
        <v>2</v>
      </c>
      <c r="F95" s="43" t="s">
        <v>278</v>
      </c>
      <c r="G95" s="43" t="s">
        <v>12</v>
      </c>
      <c r="H95" s="43">
        <f>(A95+C95+E95)*C92</f>
        <v>23.27</v>
      </c>
      <c r="I95" s="43" t="s">
        <v>276</v>
      </c>
      <c r="J95" s="44"/>
      <c r="K95" s="42"/>
      <c r="L95" s="40"/>
      <c r="M95" s="40"/>
      <c r="N95" s="40"/>
      <c r="O95" s="9"/>
      <c r="P95" s="9"/>
      <c r="Q95" s="9"/>
      <c r="R95" s="9"/>
      <c r="S95" s="9"/>
    </row>
    <row r="96" spans="1:19" ht="12.75">
      <c r="A96" s="68" t="s">
        <v>10</v>
      </c>
      <c r="B96" s="43"/>
      <c r="C96" s="43"/>
      <c r="D96" s="43"/>
      <c r="E96" s="43"/>
      <c r="F96" s="43"/>
      <c r="G96" s="43"/>
      <c r="H96" s="43"/>
      <c r="I96" s="43"/>
      <c r="J96" s="44"/>
      <c r="K96" s="42"/>
      <c r="L96" s="40"/>
      <c r="M96" s="40"/>
      <c r="N96" s="40"/>
      <c r="O96" s="9"/>
      <c r="P96" s="9"/>
      <c r="Q96" s="9"/>
      <c r="R96" s="9"/>
      <c r="S96" s="9"/>
    </row>
    <row r="97" spans="1:19" ht="12.75">
      <c r="A97" s="71">
        <v>2.2</v>
      </c>
      <c r="B97" s="43" t="s">
        <v>278</v>
      </c>
      <c r="C97" s="43">
        <v>2.75</v>
      </c>
      <c r="D97" s="43" t="s">
        <v>278</v>
      </c>
      <c r="E97" s="43"/>
      <c r="F97" s="43"/>
      <c r="G97" s="43"/>
      <c r="H97" s="43"/>
      <c r="I97" s="43"/>
      <c r="J97" s="44"/>
      <c r="K97" s="42"/>
      <c r="L97" s="40"/>
      <c r="M97" s="40"/>
      <c r="N97" s="40"/>
      <c r="O97" s="9"/>
      <c r="P97" s="9"/>
      <c r="Q97" s="9"/>
      <c r="R97" s="9"/>
      <c r="S97" s="9"/>
    </row>
    <row r="98" spans="1:19" ht="12.75">
      <c r="A98" s="71">
        <v>2</v>
      </c>
      <c r="B98" s="43" t="s">
        <v>500</v>
      </c>
      <c r="C98" s="43">
        <v>2</v>
      </c>
      <c r="D98" s="43" t="s">
        <v>500</v>
      </c>
      <c r="E98" s="43"/>
      <c r="F98" s="43"/>
      <c r="G98" s="43"/>
      <c r="H98" s="43"/>
      <c r="I98" s="43"/>
      <c r="J98" s="44"/>
      <c r="K98" s="42"/>
      <c r="L98" s="40"/>
      <c r="M98" s="40"/>
      <c r="N98" s="40"/>
      <c r="O98" s="9"/>
      <c r="P98" s="9"/>
      <c r="Q98" s="9"/>
      <c r="R98" s="9"/>
      <c r="S98" s="9"/>
    </row>
    <row r="99" spans="1:19" ht="12.75">
      <c r="A99" s="71">
        <f>A97*A98</f>
        <v>4.4</v>
      </c>
      <c r="B99" s="43" t="s">
        <v>278</v>
      </c>
      <c r="C99" s="43">
        <f>C97*C98</f>
        <v>5.5</v>
      </c>
      <c r="D99" s="43" t="s">
        <v>278</v>
      </c>
      <c r="E99" s="43"/>
      <c r="F99" s="43"/>
      <c r="G99" s="43" t="s">
        <v>12</v>
      </c>
      <c r="H99" s="43">
        <f>(A99+C99)*C92</f>
        <v>12.870000000000001</v>
      </c>
      <c r="I99" s="43" t="s">
        <v>276</v>
      </c>
      <c r="J99" s="44"/>
      <c r="K99" s="42"/>
      <c r="L99" s="40"/>
      <c r="M99" s="40"/>
      <c r="N99" s="40"/>
      <c r="O99" s="9"/>
      <c r="P99" s="9"/>
      <c r="Q99" s="9"/>
      <c r="R99" s="9"/>
      <c r="S99" s="9"/>
    </row>
    <row r="100" spans="1:19" ht="7.5" customHeight="1">
      <c r="A100" s="71"/>
      <c r="B100" s="43"/>
      <c r="C100" s="43"/>
      <c r="D100" s="43"/>
      <c r="E100" s="43"/>
      <c r="F100" s="43"/>
      <c r="G100" s="43"/>
      <c r="H100" s="43"/>
      <c r="I100" s="43"/>
      <c r="J100" s="44"/>
      <c r="K100" s="42"/>
      <c r="L100" s="40"/>
      <c r="M100" s="40"/>
      <c r="N100" s="40"/>
      <c r="O100" s="9"/>
      <c r="P100" s="9"/>
      <c r="Q100" s="9"/>
      <c r="R100" s="9"/>
      <c r="S100" s="9"/>
    </row>
    <row r="101" spans="1:19" ht="12.75">
      <c r="A101" s="64" t="s">
        <v>11</v>
      </c>
      <c r="B101" s="40"/>
      <c r="C101" s="43">
        <v>5.52</v>
      </c>
      <c r="D101" s="40" t="s">
        <v>276</v>
      </c>
      <c r="E101" s="40"/>
      <c r="F101" s="40"/>
      <c r="G101" s="40"/>
      <c r="H101" s="40"/>
      <c r="I101" s="40"/>
      <c r="J101" s="44"/>
      <c r="K101" s="42"/>
      <c r="L101" s="40"/>
      <c r="M101" s="40"/>
      <c r="N101" s="40"/>
      <c r="O101" s="9"/>
      <c r="P101" s="9"/>
      <c r="Q101" s="9"/>
      <c r="R101" s="9"/>
      <c r="S101" s="9"/>
    </row>
    <row r="102" spans="1:19" ht="12.75">
      <c r="A102" s="64"/>
      <c r="B102" s="40"/>
      <c r="C102" s="43"/>
      <c r="D102" s="40"/>
      <c r="E102" s="40" t="s">
        <v>507</v>
      </c>
      <c r="F102" s="40"/>
      <c r="G102" s="101">
        <f>H95+H99-C101</f>
        <v>30.62</v>
      </c>
      <c r="H102" s="102" t="s">
        <v>276</v>
      </c>
      <c r="I102" s="40"/>
      <c r="J102" s="44"/>
      <c r="K102" s="42"/>
      <c r="L102" s="40"/>
      <c r="M102" s="40"/>
      <c r="N102" s="40"/>
      <c r="O102" s="9"/>
      <c r="P102" s="9"/>
      <c r="Q102" s="9"/>
      <c r="R102" s="9"/>
      <c r="S102" s="9"/>
    </row>
    <row r="103" spans="1:19" ht="12.75">
      <c r="A103" s="64"/>
      <c r="B103" s="40"/>
      <c r="C103" s="43"/>
      <c r="D103" s="40"/>
      <c r="E103" s="40"/>
      <c r="F103" s="40"/>
      <c r="G103" s="40"/>
      <c r="H103" s="40"/>
      <c r="I103" s="40"/>
      <c r="J103" s="44"/>
      <c r="K103" s="42"/>
      <c r="L103" s="40"/>
      <c r="M103" s="40"/>
      <c r="N103" s="40"/>
      <c r="O103" s="9"/>
      <c r="P103" s="9"/>
      <c r="Q103" s="9"/>
      <c r="R103" s="9"/>
      <c r="S103" s="9"/>
    </row>
    <row r="104" spans="1:19" ht="12.75">
      <c r="A104" s="64" t="s">
        <v>48</v>
      </c>
      <c r="B104" s="40"/>
      <c r="C104" s="43">
        <f>J86</f>
        <v>156.8</v>
      </c>
      <c r="D104" s="40" t="s">
        <v>276</v>
      </c>
      <c r="E104" s="40">
        <v>1</v>
      </c>
      <c r="F104" s="40" t="s">
        <v>509</v>
      </c>
      <c r="G104" s="40">
        <f>C104*E104</f>
        <v>156.8</v>
      </c>
      <c r="H104" s="40" t="s">
        <v>276</v>
      </c>
      <c r="I104" s="40"/>
      <c r="J104" s="44"/>
      <c r="K104" s="42"/>
      <c r="L104" s="40"/>
      <c r="M104" s="40"/>
      <c r="N104" s="40"/>
      <c r="O104" s="9"/>
      <c r="P104" s="9"/>
      <c r="Q104" s="9"/>
      <c r="R104" s="9"/>
      <c r="S104" s="9"/>
    </row>
    <row r="105" spans="1:19" ht="12.75">
      <c r="A105" s="64" t="s">
        <v>227</v>
      </c>
      <c r="B105" s="40"/>
      <c r="C105" s="43">
        <f>J14/2</f>
        <v>40.269600000000004</v>
      </c>
      <c r="D105" s="40" t="s">
        <v>276</v>
      </c>
      <c r="E105" s="40">
        <v>1</v>
      </c>
      <c r="F105" s="40" t="s">
        <v>509</v>
      </c>
      <c r="G105" s="43">
        <f>C105*E105</f>
        <v>40.269600000000004</v>
      </c>
      <c r="H105" s="40" t="s">
        <v>276</v>
      </c>
      <c r="I105" s="40"/>
      <c r="J105" s="44"/>
      <c r="K105" s="42"/>
      <c r="L105" s="40"/>
      <c r="M105" s="40"/>
      <c r="N105" s="40"/>
      <c r="O105" s="9"/>
      <c r="P105" s="9"/>
      <c r="Q105" s="9"/>
      <c r="R105" s="9"/>
      <c r="S105" s="9"/>
    </row>
    <row r="106" spans="1:19" ht="6.75" customHeight="1">
      <c r="A106" s="64"/>
      <c r="B106" s="40"/>
      <c r="C106" s="43"/>
      <c r="D106" s="40"/>
      <c r="E106" s="40"/>
      <c r="F106" s="40"/>
      <c r="G106" s="40"/>
      <c r="H106" s="40"/>
      <c r="I106" s="40"/>
      <c r="J106" s="44"/>
      <c r="K106" s="42"/>
      <c r="L106" s="40"/>
      <c r="M106" s="40"/>
      <c r="N106" s="40"/>
      <c r="O106" s="9"/>
      <c r="P106" s="9"/>
      <c r="Q106" s="9"/>
      <c r="R106" s="9"/>
      <c r="S106" s="9"/>
    </row>
    <row r="107" spans="1:19" ht="12.75">
      <c r="A107" s="64"/>
      <c r="B107" s="40"/>
      <c r="C107" s="43"/>
      <c r="D107" s="40"/>
      <c r="E107" s="40"/>
      <c r="F107" s="40"/>
      <c r="G107" s="40"/>
      <c r="H107" s="40" t="s">
        <v>3</v>
      </c>
      <c r="I107" s="40"/>
      <c r="J107" s="44">
        <f>(G90+G104+G105)-G102</f>
        <v>1242.4496000000001</v>
      </c>
      <c r="K107" s="42" t="s">
        <v>276</v>
      </c>
      <c r="L107" s="40"/>
      <c r="M107" s="40"/>
      <c r="N107" s="40"/>
      <c r="O107" s="9"/>
      <c r="P107" s="9"/>
      <c r="Q107" s="9"/>
      <c r="R107" s="9"/>
      <c r="S107" s="9"/>
    </row>
    <row r="108" spans="1:19" ht="12.75">
      <c r="A108" s="42" t="s">
        <v>139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9"/>
      <c r="P108" s="9"/>
      <c r="Q108" s="9"/>
      <c r="R108" s="9"/>
      <c r="S108" s="9"/>
    </row>
    <row r="109" spans="1:19" ht="12.75">
      <c r="A109" s="64" t="s">
        <v>14</v>
      </c>
      <c r="B109" s="40"/>
      <c r="C109" s="43"/>
      <c r="D109" s="40"/>
      <c r="E109" s="40"/>
      <c r="F109" s="40"/>
      <c r="G109" s="40"/>
      <c r="H109" s="40"/>
      <c r="I109" s="40"/>
      <c r="J109" s="44">
        <f>J107</f>
        <v>1242.4496000000001</v>
      </c>
      <c r="K109" s="42" t="s">
        <v>276</v>
      </c>
      <c r="L109" s="40"/>
      <c r="M109" s="40"/>
      <c r="N109" s="40"/>
      <c r="O109" s="9"/>
      <c r="P109" s="9"/>
      <c r="Q109" s="9"/>
      <c r="R109" s="9"/>
      <c r="S109" s="9"/>
    </row>
    <row r="110" spans="1:19" ht="12.75">
      <c r="A110" s="64"/>
      <c r="B110" s="40"/>
      <c r="C110" s="43"/>
      <c r="D110" s="40"/>
      <c r="E110" s="40"/>
      <c r="F110" s="40"/>
      <c r="G110" s="40"/>
      <c r="H110" s="40"/>
      <c r="I110" s="40"/>
      <c r="J110" s="44"/>
      <c r="K110" s="42"/>
      <c r="L110" s="40"/>
      <c r="M110" s="43"/>
      <c r="N110" s="40"/>
      <c r="O110" s="9"/>
      <c r="P110" s="9"/>
      <c r="Q110" s="9"/>
      <c r="R110" s="9"/>
      <c r="S110" s="9"/>
    </row>
    <row r="111" spans="1:19" ht="12.75">
      <c r="A111" s="42" t="s">
        <v>140</v>
      </c>
      <c r="B111" s="42"/>
      <c r="C111" s="42"/>
      <c r="D111" s="42"/>
      <c r="E111" s="42"/>
      <c r="F111" s="42"/>
      <c r="G111" s="42"/>
      <c r="H111" s="42"/>
      <c r="I111" s="42"/>
      <c r="J111" s="44"/>
      <c r="K111" s="42"/>
      <c r="L111" s="42"/>
      <c r="M111" s="42"/>
      <c r="N111" s="42"/>
      <c r="O111" s="9"/>
      <c r="P111" s="9"/>
      <c r="Q111" s="9"/>
      <c r="R111" s="9"/>
      <c r="S111" s="9"/>
    </row>
    <row r="112" spans="1:19" ht="12.75">
      <c r="A112" s="64" t="s">
        <v>47</v>
      </c>
      <c r="B112" s="40"/>
      <c r="C112" s="43"/>
      <c r="D112" s="40"/>
      <c r="E112" s="43">
        <f>G90-G102</f>
        <v>1045.38</v>
      </c>
      <c r="F112" s="40" t="s">
        <v>276</v>
      </c>
      <c r="G112" s="40"/>
      <c r="H112" s="40"/>
      <c r="I112" s="40"/>
      <c r="J112" s="44">
        <f>E112</f>
        <v>1045.38</v>
      </c>
      <c r="K112" s="42"/>
      <c r="L112" s="40"/>
      <c r="M112" s="40"/>
      <c r="N112" s="40"/>
      <c r="O112" s="9"/>
      <c r="P112" s="9"/>
      <c r="Q112" s="9"/>
      <c r="R112" s="9"/>
      <c r="S112" s="9"/>
    </row>
    <row r="113" spans="1:19" ht="12.75">
      <c r="A113" s="64" t="s">
        <v>46</v>
      </c>
      <c r="B113" s="40"/>
      <c r="C113" s="43"/>
      <c r="D113" s="40"/>
      <c r="E113" s="40">
        <f>G104</f>
        <v>156.8</v>
      </c>
      <c r="F113" s="40" t="s">
        <v>276</v>
      </c>
      <c r="G113" s="40"/>
      <c r="H113" s="40"/>
      <c r="I113" s="40"/>
      <c r="J113" s="44">
        <f>E113</f>
        <v>156.8</v>
      </c>
      <c r="K113" s="42"/>
      <c r="L113" s="40"/>
      <c r="M113" s="40"/>
      <c r="N113" s="40"/>
      <c r="O113" s="9"/>
      <c r="P113" s="9"/>
      <c r="Q113" s="9"/>
      <c r="R113" s="9"/>
      <c r="S113" s="9"/>
    </row>
    <row r="114" spans="1:19" ht="12.75">
      <c r="A114" s="64" t="s">
        <v>594</v>
      </c>
      <c r="B114" s="40"/>
      <c r="C114" s="43"/>
      <c r="D114" s="40"/>
      <c r="E114" s="43">
        <f>G105</f>
        <v>40.269600000000004</v>
      </c>
      <c r="F114" s="40" t="s">
        <v>276</v>
      </c>
      <c r="G114" s="40"/>
      <c r="H114" s="40"/>
      <c r="I114" s="40"/>
      <c r="J114" s="44">
        <f>E114</f>
        <v>40.269600000000004</v>
      </c>
      <c r="K114" s="42"/>
      <c r="L114" s="40"/>
      <c r="M114" s="40"/>
      <c r="N114" s="40"/>
      <c r="O114" s="9"/>
      <c r="P114" s="9"/>
      <c r="Q114" s="9"/>
      <c r="R114" s="9"/>
      <c r="S114" s="9"/>
    </row>
    <row r="115" spans="1:19" ht="8.25" customHeight="1">
      <c r="A115" s="64"/>
      <c r="B115" s="40"/>
      <c r="C115" s="43"/>
      <c r="D115" s="40"/>
      <c r="E115" s="40"/>
      <c r="F115" s="40"/>
      <c r="G115" s="40"/>
      <c r="H115" s="40"/>
      <c r="I115" s="40"/>
      <c r="J115" s="44"/>
      <c r="K115" s="42"/>
      <c r="L115" s="40"/>
      <c r="M115" s="40"/>
      <c r="N115" s="40"/>
      <c r="O115" s="9"/>
      <c r="P115" s="9"/>
      <c r="Q115" s="9"/>
      <c r="R115" s="9"/>
      <c r="S115" s="9"/>
    </row>
    <row r="116" spans="1:19" ht="12.75">
      <c r="A116" s="40" t="s">
        <v>15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9"/>
      <c r="P116" s="9"/>
      <c r="Q116" s="9"/>
      <c r="R116" s="9"/>
      <c r="S116" s="9"/>
    </row>
    <row r="117" spans="1:19" ht="12.75">
      <c r="A117" s="70" t="s">
        <v>504</v>
      </c>
      <c r="B117" s="43">
        <v>1.2</v>
      </c>
      <c r="C117" s="43" t="s">
        <v>278</v>
      </c>
      <c r="D117" s="43">
        <v>2</v>
      </c>
      <c r="E117" s="43" t="s">
        <v>278</v>
      </c>
      <c r="F117" s="43">
        <v>0.75</v>
      </c>
      <c r="G117" s="43" t="s">
        <v>278</v>
      </c>
      <c r="H117" s="43"/>
      <c r="I117" s="43">
        <v>1.2</v>
      </c>
      <c r="J117" s="43" t="s">
        <v>278</v>
      </c>
      <c r="K117" s="43"/>
      <c r="L117" s="43"/>
      <c r="M117" s="43"/>
      <c r="N117" s="43"/>
      <c r="O117" s="9"/>
      <c r="P117" s="9"/>
      <c r="Q117" s="9"/>
      <c r="R117" s="9"/>
      <c r="S117" s="9"/>
    </row>
    <row r="118" spans="1:19" ht="12.75">
      <c r="A118" s="70"/>
      <c r="B118" s="43">
        <v>0.6</v>
      </c>
      <c r="C118" s="43" t="s">
        <v>278</v>
      </c>
      <c r="D118" s="43">
        <v>2.3</v>
      </c>
      <c r="E118" s="43" t="s">
        <v>278</v>
      </c>
      <c r="F118" s="43">
        <v>2.3</v>
      </c>
      <c r="G118" s="43" t="s">
        <v>278</v>
      </c>
      <c r="H118" s="43"/>
      <c r="I118" s="43">
        <v>2.3</v>
      </c>
      <c r="J118" s="43" t="s">
        <v>278</v>
      </c>
      <c r="K118" s="44"/>
      <c r="L118" s="43"/>
      <c r="M118" s="43"/>
      <c r="N118" s="40"/>
      <c r="O118" s="9"/>
      <c r="P118" s="9"/>
      <c r="Q118" s="9"/>
      <c r="R118" s="9"/>
      <c r="S118" s="9"/>
    </row>
    <row r="119" spans="1:19" ht="12.75">
      <c r="A119" s="70"/>
      <c r="B119" s="43">
        <v>8</v>
      </c>
      <c r="C119" s="43" t="s">
        <v>505</v>
      </c>
      <c r="D119" s="43">
        <v>2</v>
      </c>
      <c r="E119" s="43" t="s">
        <v>505</v>
      </c>
      <c r="F119" s="43">
        <v>2</v>
      </c>
      <c r="G119" s="43" t="s">
        <v>505</v>
      </c>
      <c r="H119" s="43"/>
      <c r="I119" s="43">
        <v>8</v>
      </c>
      <c r="J119" s="43" t="s">
        <v>505</v>
      </c>
      <c r="K119" s="44"/>
      <c r="L119" s="43"/>
      <c r="M119" s="43"/>
      <c r="N119" s="40"/>
      <c r="O119" s="9"/>
      <c r="P119" s="9"/>
      <c r="Q119" s="9"/>
      <c r="R119" s="9"/>
      <c r="S119" s="9"/>
    </row>
    <row r="120" spans="1:19" ht="12.75">
      <c r="A120" s="70"/>
      <c r="B120" s="43">
        <f>B117*B118*B119</f>
        <v>5.76</v>
      </c>
      <c r="C120" s="43" t="s">
        <v>276</v>
      </c>
      <c r="D120" s="43">
        <f>D117*D118*D119</f>
        <v>9.2</v>
      </c>
      <c r="E120" s="43" t="s">
        <v>276</v>
      </c>
      <c r="F120" s="43">
        <f>F117*F118*F119</f>
        <v>3.4499999999999997</v>
      </c>
      <c r="G120" s="43" t="s">
        <v>276</v>
      </c>
      <c r="H120" s="43"/>
      <c r="I120" s="43">
        <f>I117*I118*I119</f>
        <v>22.08</v>
      </c>
      <c r="J120" s="43" t="s">
        <v>276</v>
      </c>
      <c r="K120" s="44"/>
      <c r="L120" s="43"/>
      <c r="M120" s="43"/>
      <c r="N120" s="40"/>
      <c r="O120" s="9"/>
      <c r="P120" s="9"/>
      <c r="Q120" s="9"/>
      <c r="R120" s="9"/>
      <c r="S120" s="9"/>
    </row>
    <row r="121" spans="1:19" ht="12.75">
      <c r="A121" s="70"/>
      <c r="B121" s="103"/>
      <c r="C121" s="43"/>
      <c r="D121" s="103">
        <v>0.1</v>
      </c>
      <c r="E121" s="43" t="s">
        <v>16</v>
      </c>
      <c r="F121" s="43"/>
      <c r="G121" s="44" t="s">
        <v>504</v>
      </c>
      <c r="H121" s="44">
        <f>(I120+F120+D120+B120)*D121</f>
        <v>4.0489999999999995</v>
      </c>
      <c r="I121" s="44" t="s">
        <v>276</v>
      </c>
      <c r="J121" s="71"/>
      <c r="K121" s="44"/>
      <c r="L121" s="43"/>
      <c r="M121" s="43"/>
      <c r="N121" s="40"/>
      <c r="O121" s="9"/>
      <c r="P121" s="9"/>
      <c r="Q121" s="9"/>
      <c r="R121" s="9"/>
      <c r="S121" s="9"/>
    </row>
    <row r="122" spans="1:19" ht="7.5" customHeight="1">
      <c r="A122" s="70"/>
      <c r="B122" s="103"/>
      <c r="C122" s="43"/>
      <c r="D122" s="43"/>
      <c r="E122" s="43"/>
      <c r="F122" s="43"/>
      <c r="G122" s="43"/>
      <c r="H122" s="43"/>
      <c r="I122" s="43"/>
      <c r="J122" s="71"/>
      <c r="K122" s="44"/>
      <c r="L122" s="43"/>
      <c r="M122" s="43"/>
      <c r="N122" s="40"/>
      <c r="O122" s="9"/>
      <c r="P122" s="9"/>
      <c r="Q122" s="9"/>
      <c r="R122" s="9"/>
      <c r="S122" s="9"/>
    </row>
    <row r="123" spans="1:19" ht="12.75">
      <c r="A123" s="70" t="s">
        <v>506</v>
      </c>
      <c r="B123" s="43">
        <v>2</v>
      </c>
      <c r="C123" s="43" t="s">
        <v>278</v>
      </c>
      <c r="D123" s="43">
        <v>1.2</v>
      </c>
      <c r="E123" s="43" t="s">
        <v>278</v>
      </c>
      <c r="F123" s="43">
        <v>0.7</v>
      </c>
      <c r="G123" s="43" t="s">
        <v>278</v>
      </c>
      <c r="H123" s="43"/>
      <c r="I123" s="43">
        <v>0.8</v>
      </c>
      <c r="J123" s="43" t="s">
        <v>278</v>
      </c>
      <c r="K123" s="44"/>
      <c r="L123" s="43"/>
      <c r="M123" s="43"/>
      <c r="N123" s="40"/>
      <c r="O123" s="9"/>
      <c r="P123" s="9"/>
      <c r="Q123" s="9"/>
      <c r="R123" s="9"/>
      <c r="S123" s="9"/>
    </row>
    <row r="124" spans="1:19" ht="12.75">
      <c r="A124" s="70"/>
      <c r="B124" s="43">
        <v>2.8</v>
      </c>
      <c r="C124" s="43" t="s">
        <v>278</v>
      </c>
      <c r="D124" s="43">
        <v>2.8</v>
      </c>
      <c r="E124" s="43" t="s">
        <v>278</v>
      </c>
      <c r="F124" s="43">
        <v>2.1</v>
      </c>
      <c r="G124" s="43" t="s">
        <v>278</v>
      </c>
      <c r="H124" s="43"/>
      <c r="I124" s="43">
        <v>2.1</v>
      </c>
      <c r="J124" s="43" t="s">
        <v>278</v>
      </c>
      <c r="K124" s="44"/>
      <c r="L124" s="43"/>
      <c r="M124" s="43"/>
      <c r="N124" s="40"/>
      <c r="O124" s="9"/>
      <c r="P124" s="9"/>
      <c r="Q124" s="9"/>
      <c r="R124" s="9"/>
      <c r="S124" s="9"/>
    </row>
    <row r="125" spans="1:19" ht="12.75">
      <c r="A125" s="70"/>
      <c r="B125" s="43">
        <v>2</v>
      </c>
      <c r="C125" s="43" t="s">
        <v>503</v>
      </c>
      <c r="D125" s="43">
        <v>2</v>
      </c>
      <c r="E125" s="43" t="s">
        <v>503</v>
      </c>
      <c r="F125" s="43">
        <v>2</v>
      </c>
      <c r="G125" s="43" t="s">
        <v>503</v>
      </c>
      <c r="H125" s="43"/>
      <c r="I125" s="43">
        <v>2</v>
      </c>
      <c r="J125" s="43" t="s">
        <v>503</v>
      </c>
      <c r="K125" s="44"/>
      <c r="L125" s="43"/>
      <c r="M125" s="43"/>
      <c r="N125" s="40"/>
      <c r="O125" s="9"/>
      <c r="P125" s="9"/>
      <c r="Q125" s="9"/>
      <c r="R125" s="9"/>
      <c r="S125" s="9"/>
    </row>
    <row r="126" spans="1:19" ht="12.75">
      <c r="A126" s="70"/>
      <c r="B126" s="43">
        <v>4</v>
      </c>
      <c r="C126" s="43" t="s">
        <v>552</v>
      </c>
      <c r="D126" s="43">
        <v>3</v>
      </c>
      <c r="E126" s="43" t="s">
        <v>552</v>
      </c>
      <c r="F126" s="43">
        <v>2</v>
      </c>
      <c r="G126" s="43" t="s">
        <v>552</v>
      </c>
      <c r="H126" s="43"/>
      <c r="I126" s="43">
        <v>4</v>
      </c>
      <c r="J126" s="43" t="s">
        <v>552</v>
      </c>
      <c r="K126" s="44"/>
      <c r="L126" s="43"/>
      <c r="M126" s="43"/>
      <c r="N126" s="40"/>
      <c r="O126" s="9"/>
      <c r="P126" s="9"/>
      <c r="Q126" s="9"/>
      <c r="R126" s="9"/>
      <c r="S126" s="9"/>
    </row>
    <row r="127" spans="1:19" ht="12.75">
      <c r="A127" s="70"/>
      <c r="B127" s="43">
        <f>B123*B124*B125*B126</f>
        <v>44.8</v>
      </c>
      <c r="C127" s="43" t="s">
        <v>276</v>
      </c>
      <c r="D127" s="43">
        <f>D123*D124*D125*D126</f>
        <v>20.16</v>
      </c>
      <c r="E127" s="43" t="s">
        <v>276</v>
      </c>
      <c r="F127" s="43">
        <f>F123*F124*F125*F126</f>
        <v>5.88</v>
      </c>
      <c r="G127" s="43" t="s">
        <v>276</v>
      </c>
      <c r="H127" s="43"/>
      <c r="I127" s="43">
        <f>I123*I124*I125*I126</f>
        <v>13.440000000000001</v>
      </c>
      <c r="J127" s="43" t="s">
        <v>276</v>
      </c>
      <c r="K127" s="44"/>
      <c r="L127" s="43"/>
      <c r="M127" s="43"/>
      <c r="N127" s="40"/>
      <c r="O127" s="9"/>
      <c r="P127" s="9"/>
      <c r="Q127" s="9"/>
      <c r="R127" s="9"/>
      <c r="S127" s="9"/>
    </row>
    <row r="128" spans="1:19" ht="8.25" customHeight="1">
      <c r="A128" s="70"/>
      <c r="B128" s="103"/>
      <c r="C128" s="43"/>
      <c r="D128" s="43"/>
      <c r="E128" s="43"/>
      <c r="F128" s="43"/>
      <c r="G128" s="43"/>
      <c r="H128" s="43"/>
      <c r="I128" s="43"/>
      <c r="J128" s="71"/>
      <c r="K128" s="44"/>
      <c r="L128" s="43"/>
      <c r="M128" s="43"/>
      <c r="N128" s="40"/>
      <c r="O128" s="9"/>
      <c r="P128" s="9"/>
      <c r="Q128" s="9"/>
      <c r="R128" s="9"/>
      <c r="S128" s="9"/>
    </row>
    <row r="129" spans="1:19" ht="12.75">
      <c r="A129" s="70"/>
      <c r="B129" s="43"/>
      <c r="C129" s="43"/>
      <c r="D129" s="43">
        <v>0.9</v>
      </c>
      <c r="E129" s="43" t="s">
        <v>278</v>
      </c>
      <c r="F129" s="43"/>
      <c r="G129" s="43"/>
      <c r="H129" s="43"/>
      <c r="I129" s="43"/>
      <c r="J129" s="71"/>
      <c r="K129" s="44"/>
      <c r="L129" s="43"/>
      <c r="M129" s="43"/>
      <c r="N129" s="40"/>
      <c r="O129" s="9"/>
      <c r="P129" s="9"/>
      <c r="Q129" s="9"/>
      <c r="R129" s="9"/>
      <c r="S129" s="9"/>
    </row>
    <row r="130" spans="1:19" ht="12.75">
      <c r="A130" s="70"/>
      <c r="B130" s="43"/>
      <c r="C130" s="43"/>
      <c r="D130" s="43">
        <v>2.1</v>
      </c>
      <c r="E130" s="43" t="s">
        <v>278</v>
      </c>
      <c r="F130" s="43"/>
      <c r="G130" s="43"/>
      <c r="H130" s="43"/>
      <c r="I130" s="43"/>
      <c r="J130" s="71"/>
      <c r="K130" s="44"/>
      <c r="L130" s="43"/>
      <c r="M130" s="43"/>
      <c r="N130" s="40"/>
      <c r="O130" s="9"/>
      <c r="P130" s="9"/>
      <c r="Q130" s="9"/>
      <c r="R130" s="9"/>
      <c r="S130" s="9"/>
    </row>
    <row r="131" spans="1:19" ht="12.75">
      <c r="A131" s="70"/>
      <c r="B131" s="43"/>
      <c r="C131" s="43"/>
      <c r="D131" s="43">
        <v>2</v>
      </c>
      <c r="E131" s="43" t="s">
        <v>503</v>
      </c>
      <c r="F131" s="43"/>
      <c r="G131" s="43"/>
      <c r="H131" s="43"/>
      <c r="I131" s="43"/>
      <c r="J131" s="71"/>
      <c r="K131" s="44"/>
      <c r="L131" s="43"/>
      <c r="M131" s="43"/>
      <c r="N131" s="40"/>
      <c r="O131" s="9"/>
      <c r="P131" s="9"/>
      <c r="Q131" s="9"/>
      <c r="R131" s="9"/>
      <c r="S131" s="9"/>
    </row>
    <row r="132" spans="1:19" ht="12.75">
      <c r="A132" s="70"/>
      <c r="B132" s="43"/>
      <c r="C132" s="43"/>
      <c r="D132" s="43">
        <v>1</v>
      </c>
      <c r="E132" s="43" t="s">
        <v>553</v>
      </c>
      <c r="F132" s="43"/>
      <c r="G132" s="43"/>
      <c r="H132" s="43"/>
      <c r="I132" s="43"/>
      <c r="J132" s="71"/>
      <c r="K132" s="44"/>
      <c r="L132" s="43"/>
      <c r="M132" s="43"/>
      <c r="N132" s="40"/>
      <c r="O132" s="9"/>
      <c r="P132" s="9"/>
      <c r="Q132" s="9"/>
      <c r="R132" s="9"/>
      <c r="S132" s="9"/>
    </row>
    <row r="133" spans="1:19" ht="12.75">
      <c r="A133" s="70"/>
      <c r="B133" s="43"/>
      <c r="C133" s="43"/>
      <c r="D133" s="43">
        <f>D129*D130*D131*D132</f>
        <v>3.7800000000000002</v>
      </c>
      <c r="E133" s="43" t="s">
        <v>276</v>
      </c>
      <c r="F133" s="44"/>
      <c r="G133" s="44" t="s">
        <v>506</v>
      </c>
      <c r="H133" s="44">
        <f>B127+D127+F127+I127+D133</f>
        <v>88.05999999999999</v>
      </c>
      <c r="I133" s="44" t="s">
        <v>276</v>
      </c>
      <c r="J133" s="71"/>
      <c r="K133" s="44"/>
      <c r="L133" s="43"/>
      <c r="M133" s="43"/>
      <c r="N133" s="40"/>
      <c r="O133" s="9"/>
      <c r="P133" s="9"/>
      <c r="Q133" s="9"/>
      <c r="R133" s="9"/>
      <c r="S133" s="9"/>
    </row>
    <row r="134" spans="1:19" ht="8.25" customHeight="1">
      <c r="A134" s="70"/>
      <c r="B134" s="103"/>
      <c r="C134" s="43"/>
      <c r="D134" s="43"/>
      <c r="E134" s="43"/>
      <c r="F134" s="43"/>
      <c r="G134" s="43"/>
      <c r="H134" s="43"/>
      <c r="I134" s="43"/>
      <c r="J134" s="71"/>
      <c r="K134" s="44"/>
      <c r="L134" s="43"/>
      <c r="M134" s="43"/>
      <c r="N134" s="40"/>
      <c r="O134" s="9"/>
      <c r="P134" s="9"/>
      <c r="Q134" s="9"/>
      <c r="R134" s="9"/>
      <c r="S134" s="9"/>
    </row>
    <row r="135" spans="1:19" ht="12.75">
      <c r="A135" s="42" t="s">
        <v>141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9"/>
      <c r="P135" s="9"/>
      <c r="Q135" s="9"/>
      <c r="R135" s="9"/>
      <c r="S135" s="9"/>
    </row>
    <row r="136" spans="1:19" ht="12.75">
      <c r="A136" s="64" t="s">
        <v>13</v>
      </c>
      <c r="B136" s="40"/>
      <c r="C136" s="43"/>
      <c r="D136" s="40"/>
      <c r="E136" s="40"/>
      <c r="F136" s="40"/>
      <c r="G136" s="40"/>
      <c r="H136" s="40"/>
      <c r="I136" s="40"/>
      <c r="J136" s="71"/>
      <c r="K136" s="44"/>
      <c r="L136" s="43"/>
      <c r="M136" s="43"/>
      <c r="N136" s="40"/>
      <c r="O136" s="9"/>
      <c r="P136" s="9"/>
      <c r="Q136" s="9"/>
      <c r="R136" s="9"/>
      <c r="S136" s="9"/>
    </row>
    <row r="137" spans="1:19" ht="12.75">
      <c r="A137" s="64" t="s">
        <v>8</v>
      </c>
      <c r="B137" s="40"/>
      <c r="C137" s="44">
        <v>1.3</v>
      </c>
      <c r="D137" s="42" t="s">
        <v>278</v>
      </c>
      <c r="E137" s="40" t="s">
        <v>40</v>
      </c>
      <c r="F137" s="40"/>
      <c r="G137" s="40"/>
      <c r="H137" s="40"/>
      <c r="I137" s="40"/>
      <c r="J137" s="71"/>
      <c r="K137" s="44"/>
      <c r="L137" s="43"/>
      <c r="M137" s="43"/>
      <c r="N137" s="40"/>
      <c r="O137" s="9"/>
      <c r="P137" s="9"/>
      <c r="Q137" s="9"/>
      <c r="R137" s="9"/>
      <c r="S137" s="9"/>
    </row>
    <row r="138" spans="1:19" ht="12.75">
      <c r="A138" s="71">
        <v>3.35</v>
      </c>
      <c r="B138" s="43" t="s">
        <v>278</v>
      </c>
      <c r="C138" s="43">
        <v>4.6</v>
      </c>
      <c r="D138" s="43" t="s">
        <v>278</v>
      </c>
      <c r="E138" s="43">
        <v>1</v>
      </c>
      <c r="F138" s="43" t="s">
        <v>278</v>
      </c>
      <c r="G138" s="43"/>
      <c r="H138" s="43"/>
      <c r="I138" s="43"/>
      <c r="J138" s="71"/>
      <c r="K138" s="44"/>
      <c r="L138" s="43"/>
      <c r="M138" s="43"/>
      <c r="N138" s="40"/>
      <c r="O138" s="9"/>
      <c r="P138" s="9"/>
      <c r="Q138" s="9"/>
      <c r="R138" s="9"/>
      <c r="S138" s="9"/>
    </row>
    <row r="139" spans="1:19" ht="12.75">
      <c r="A139" s="71">
        <v>2</v>
      </c>
      <c r="B139" s="43" t="s">
        <v>500</v>
      </c>
      <c r="C139" s="43">
        <v>2</v>
      </c>
      <c r="D139" s="43" t="s">
        <v>500</v>
      </c>
      <c r="E139" s="43">
        <v>2</v>
      </c>
      <c r="F139" s="43" t="s">
        <v>500</v>
      </c>
      <c r="G139" s="43"/>
      <c r="H139" s="43"/>
      <c r="I139" s="43"/>
      <c r="J139" s="71"/>
      <c r="K139" s="44"/>
      <c r="L139" s="43"/>
      <c r="M139" s="43"/>
      <c r="N139" s="40"/>
      <c r="O139" s="9"/>
      <c r="P139" s="9"/>
      <c r="Q139" s="9"/>
      <c r="R139" s="9"/>
      <c r="S139" s="9"/>
    </row>
    <row r="140" spans="1:19" ht="12.75">
      <c r="A140" s="71">
        <f>A138*A139</f>
        <v>6.7</v>
      </c>
      <c r="B140" s="43" t="s">
        <v>278</v>
      </c>
      <c r="C140" s="43">
        <f>C138*C139</f>
        <v>9.2</v>
      </c>
      <c r="D140" s="43" t="s">
        <v>278</v>
      </c>
      <c r="E140" s="43">
        <f>E139*E138</f>
        <v>2</v>
      </c>
      <c r="F140" s="43" t="s">
        <v>278</v>
      </c>
      <c r="G140" s="43" t="s">
        <v>12</v>
      </c>
      <c r="H140" s="43">
        <f>(A140+C140+E140)*C137</f>
        <v>23.27</v>
      </c>
      <c r="I140" s="43" t="s">
        <v>276</v>
      </c>
      <c r="J140" s="71"/>
      <c r="K140" s="44"/>
      <c r="L140" s="43"/>
      <c r="M140" s="43"/>
      <c r="N140" s="40"/>
      <c r="O140" s="9"/>
      <c r="P140" s="9"/>
      <c r="Q140" s="9"/>
      <c r="R140" s="9"/>
      <c r="S140" s="9"/>
    </row>
    <row r="141" spans="1:19" ht="12.75">
      <c r="A141" s="68" t="s">
        <v>10</v>
      </c>
      <c r="B141" s="43"/>
      <c r="C141" s="43"/>
      <c r="D141" s="43"/>
      <c r="E141" s="43"/>
      <c r="F141" s="43"/>
      <c r="G141" s="43"/>
      <c r="H141" s="43"/>
      <c r="I141" s="43"/>
      <c r="J141" s="71"/>
      <c r="K141" s="44"/>
      <c r="L141" s="43"/>
      <c r="M141" s="43"/>
      <c r="N141" s="40"/>
      <c r="O141" s="9"/>
      <c r="P141" s="9"/>
      <c r="Q141" s="9"/>
      <c r="R141" s="9"/>
      <c r="S141" s="9"/>
    </row>
    <row r="142" spans="1:19" ht="12.75">
      <c r="A142" s="71">
        <v>2.2</v>
      </c>
      <c r="B142" s="43" t="s">
        <v>278</v>
      </c>
      <c r="C142" s="43">
        <v>2.75</v>
      </c>
      <c r="D142" s="43" t="s">
        <v>278</v>
      </c>
      <c r="E142" s="43"/>
      <c r="F142" s="43"/>
      <c r="G142" s="43"/>
      <c r="H142" s="43"/>
      <c r="I142" s="43"/>
      <c r="J142" s="71"/>
      <c r="K142" s="44"/>
      <c r="L142" s="43"/>
      <c r="M142" s="43"/>
      <c r="N142" s="40"/>
      <c r="O142" s="9"/>
      <c r="P142" s="9"/>
      <c r="Q142" s="9"/>
      <c r="R142" s="9"/>
      <c r="S142" s="9"/>
    </row>
    <row r="143" spans="1:19" ht="12.75">
      <c r="A143" s="71">
        <v>2</v>
      </c>
      <c r="B143" s="43" t="s">
        <v>500</v>
      </c>
      <c r="C143" s="43">
        <v>2</v>
      </c>
      <c r="D143" s="43" t="s">
        <v>500</v>
      </c>
      <c r="E143" s="43"/>
      <c r="F143" s="43"/>
      <c r="G143" s="43"/>
      <c r="H143" s="43"/>
      <c r="I143" s="43"/>
      <c r="J143" s="71"/>
      <c r="K143" s="44"/>
      <c r="L143" s="43"/>
      <c r="M143" s="43"/>
      <c r="N143" s="40"/>
      <c r="O143" s="9"/>
      <c r="P143" s="9"/>
      <c r="Q143" s="9"/>
      <c r="R143" s="9"/>
      <c r="S143" s="9"/>
    </row>
    <row r="144" spans="1:19" ht="12.75">
      <c r="A144" s="71">
        <f>A142*A143</f>
        <v>4.4</v>
      </c>
      <c r="B144" s="43" t="s">
        <v>278</v>
      </c>
      <c r="C144" s="43">
        <f>C142*C143</f>
        <v>5.5</v>
      </c>
      <c r="D144" s="43" t="s">
        <v>278</v>
      </c>
      <c r="E144" s="43"/>
      <c r="F144" s="43"/>
      <c r="G144" s="43" t="s">
        <v>12</v>
      </c>
      <c r="H144" s="43">
        <f>(A144+C144)*C137</f>
        <v>12.870000000000001</v>
      </c>
      <c r="I144" s="43" t="s">
        <v>276</v>
      </c>
      <c r="J144" s="71"/>
      <c r="K144" s="44"/>
      <c r="L144" s="43"/>
      <c r="M144" s="43"/>
      <c r="N144" s="40"/>
      <c r="O144" s="9"/>
      <c r="P144" s="9"/>
      <c r="Q144" s="9"/>
      <c r="R144" s="9"/>
      <c r="S144" s="9"/>
    </row>
    <row r="145" spans="1:19" ht="8.25" customHeight="1">
      <c r="A145" s="71"/>
      <c r="B145" s="43"/>
      <c r="C145" s="43"/>
      <c r="D145" s="43"/>
      <c r="E145" s="43"/>
      <c r="F145" s="43"/>
      <c r="G145" s="43"/>
      <c r="H145" s="43"/>
      <c r="I145" s="43"/>
      <c r="J145" s="71"/>
      <c r="K145" s="44"/>
      <c r="L145" s="43"/>
      <c r="M145" s="43"/>
      <c r="N145" s="40"/>
      <c r="O145" s="9"/>
      <c r="P145" s="9"/>
      <c r="Q145" s="9"/>
      <c r="R145" s="9"/>
      <c r="S145" s="9"/>
    </row>
    <row r="146" spans="1:19" ht="12.75">
      <c r="A146" s="64" t="s">
        <v>11</v>
      </c>
      <c r="B146" s="40"/>
      <c r="C146" s="43">
        <v>5.52</v>
      </c>
      <c r="D146" s="40" t="s">
        <v>276</v>
      </c>
      <c r="E146" s="40"/>
      <c r="F146" s="40"/>
      <c r="G146" s="40"/>
      <c r="H146" s="40"/>
      <c r="I146" s="40"/>
      <c r="J146" s="71"/>
      <c r="K146" s="44"/>
      <c r="L146" s="43"/>
      <c r="M146" s="43"/>
      <c r="N146" s="40"/>
      <c r="O146" s="9"/>
      <c r="P146" s="9"/>
      <c r="Q146" s="9"/>
      <c r="R146" s="9"/>
      <c r="S146" s="9"/>
    </row>
    <row r="147" spans="1:19" ht="12.75">
      <c r="A147" s="64"/>
      <c r="B147" s="40"/>
      <c r="C147" s="43"/>
      <c r="D147" s="40"/>
      <c r="E147" s="40"/>
      <c r="F147" s="40"/>
      <c r="G147" s="43" t="s">
        <v>502</v>
      </c>
      <c r="H147" s="102"/>
      <c r="I147" s="40"/>
      <c r="J147" s="104">
        <f>H140+H144-C146</f>
        <v>30.62</v>
      </c>
      <c r="K147" s="44" t="s">
        <v>276</v>
      </c>
      <c r="L147" s="43"/>
      <c r="M147" s="43"/>
      <c r="N147" s="40"/>
      <c r="O147" s="9"/>
      <c r="P147" s="9"/>
      <c r="Q147" s="9"/>
      <c r="R147" s="9"/>
      <c r="S147" s="9"/>
    </row>
    <row r="148" spans="1:19" ht="12.75">
      <c r="A148" s="42" t="s">
        <v>142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9"/>
      <c r="P148" s="9"/>
      <c r="Q148" s="9"/>
      <c r="R148" s="9"/>
      <c r="S148" s="9"/>
    </row>
    <row r="149" spans="1:19" ht="12.75">
      <c r="A149" s="64" t="s">
        <v>18</v>
      </c>
      <c r="B149" s="64"/>
      <c r="C149" s="64"/>
      <c r="D149" s="71">
        <v>36.8</v>
      </c>
      <c r="E149" s="68" t="s">
        <v>276</v>
      </c>
      <c r="F149" s="62"/>
      <c r="G149" s="62"/>
      <c r="H149" s="62"/>
      <c r="I149" s="62"/>
      <c r="J149" s="62"/>
      <c r="K149" s="62"/>
      <c r="L149" s="61"/>
      <c r="M149" s="61"/>
      <c r="N149" s="61"/>
      <c r="O149" s="9"/>
      <c r="P149" s="9"/>
      <c r="Q149" s="9"/>
      <c r="R149" s="9"/>
      <c r="S149" s="9"/>
    </row>
    <row r="150" spans="1:19" ht="12.75">
      <c r="A150" s="64" t="s">
        <v>17</v>
      </c>
      <c r="B150" s="64"/>
      <c r="C150" s="64"/>
      <c r="D150" s="71">
        <v>15.37</v>
      </c>
      <c r="E150" s="68" t="s">
        <v>276</v>
      </c>
      <c r="F150" s="104"/>
      <c r="G150" s="62"/>
      <c r="H150" s="62"/>
      <c r="I150" s="62"/>
      <c r="J150" s="62"/>
      <c r="K150" s="62"/>
      <c r="L150" s="61"/>
      <c r="M150" s="61"/>
      <c r="N150" s="61"/>
      <c r="O150" s="9"/>
      <c r="P150" s="9"/>
      <c r="Q150" s="9"/>
      <c r="R150" s="9"/>
      <c r="S150" s="9"/>
    </row>
    <row r="151" spans="1:19" ht="12.75">
      <c r="A151" s="64" t="s">
        <v>19</v>
      </c>
      <c r="B151" s="64"/>
      <c r="C151" s="64"/>
      <c r="D151" s="71">
        <v>207.56</v>
      </c>
      <c r="E151" s="68" t="s">
        <v>276</v>
      </c>
      <c r="F151" s="104"/>
      <c r="G151" s="62"/>
      <c r="H151" s="62"/>
      <c r="I151" s="62"/>
      <c r="J151" s="62"/>
      <c r="K151" s="62"/>
      <c r="L151" s="61"/>
      <c r="M151" s="61"/>
      <c r="N151" s="61"/>
      <c r="O151" s="9"/>
      <c r="P151" s="9"/>
      <c r="Q151" s="9"/>
      <c r="R151" s="9"/>
      <c r="S151" s="9"/>
    </row>
    <row r="152" spans="1:19" ht="12.75">
      <c r="A152" s="64" t="s">
        <v>20</v>
      </c>
      <c r="B152" s="64"/>
      <c r="C152" s="64"/>
      <c r="D152" s="71">
        <f>J175</f>
        <v>49.36</v>
      </c>
      <c r="E152" s="68" t="s">
        <v>276</v>
      </c>
      <c r="F152" s="104"/>
      <c r="G152" s="62"/>
      <c r="H152" s="62"/>
      <c r="I152" s="62"/>
      <c r="J152" s="62"/>
      <c r="K152" s="62"/>
      <c r="L152" s="61"/>
      <c r="M152" s="61"/>
      <c r="N152" s="61"/>
      <c r="O152" s="9"/>
      <c r="P152" s="9"/>
      <c r="Q152" s="9"/>
      <c r="R152" s="9"/>
      <c r="S152" s="9"/>
    </row>
    <row r="153" spans="1:19" ht="12.75">
      <c r="A153" s="64" t="s">
        <v>21</v>
      </c>
      <c r="B153" s="64"/>
      <c r="C153" s="64"/>
      <c r="D153" s="71">
        <v>6.42</v>
      </c>
      <c r="E153" s="68" t="s">
        <v>276</v>
      </c>
      <c r="F153" s="104"/>
      <c r="G153" s="62"/>
      <c r="H153" s="62"/>
      <c r="I153" s="62"/>
      <c r="J153" s="62"/>
      <c r="K153" s="62"/>
      <c r="L153" s="61"/>
      <c r="M153" s="61"/>
      <c r="N153" s="61"/>
      <c r="O153" s="9"/>
      <c r="P153" s="9"/>
      <c r="Q153" s="9"/>
      <c r="R153" s="9"/>
      <c r="S153" s="9"/>
    </row>
    <row r="154" spans="1:19" ht="12.75">
      <c r="A154" s="64" t="s">
        <v>22</v>
      </c>
      <c r="B154" s="64"/>
      <c r="C154" s="64"/>
      <c r="D154" s="71">
        <v>3.75</v>
      </c>
      <c r="E154" s="68" t="s">
        <v>276</v>
      </c>
      <c r="F154" s="104"/>
      <c r="G154" s="62"/>
      <c r="H154" s="62"/>
      <c r="I154" s="62"/>
      <c r="J154" s="62"/>
      <c r="K154" s="62"/>
      <c r="L154" s="61"/>
      <c r="M154" s="61"/>
      <c r="N154" s="61"/>
      <c r="O154" s="9"/>
      <c r="P154" s="9"/>
      <c r="Q154" s="9"/>
      <c r="R154" s="9"/>
      <c r="S154" s="9"/>
    </row>
    <row r="155" spans="1:19" ht="12.75">
      <c r="A155" s="64" t="s">
        <v>23</v>
      </c>
      <c r="B155" s="64"/>
      <c r="C155" s="64"/>
      <c r="D155" s="71">
        <v>3.3</v>
      </c>
      <c r="E155" s="68" t="s">
        <v>276</v>
      </c>
      <c r="F155" s="104"/>
      <c r="G155" s="62"/>
      <c r="H155" s="62"/>
      <c r="I155" s="62"/>
      <c r="J155" s="62"/>
      <c r="K155" s="62"/>
      <c r="L155" s="61"/>
      <c r="M155" s="61"/>
      <c r="N155" s="61"/>
      <c r="O155" s="9"/>
      <c r="P155" s="9"/>
      <c r="Q155" s="9"/>
      <c r="R155" s="9"/>
      <c r="S155" s="9"/>
    </row>
    <row r="156" spans="1:19" ht="12.75">
      <c r="A156" s="64" t="s">
        <v>24</v>
      </c>
      <c r="B156" s="64"/>
      <c r="C156" s="64"/>
      <c r="D156" s="71">
        <v>30.82</v>
      </c>
      <c r="E156" s="68" t="s">
        <v>276</v>
      </c>
      <c r="F156" s="104"/>
      <c r="G156" s="62"/>
      <c r="H156" s="62"/>
      <c r="I156" s="62"/>
      <c r="J156" s="62"/>
      <c r="K156" s="62"/>
      <c r="L156" s="61"/>
      <c r="M156" s="61"/>
      <c r="N156" s="61"/>
      <c r="O156" s="9"/>
      <c r="P156" s="9"/>
      <c r="Q156" s="9"/>
      <c r="R156" s="9"/>
      <c r="S156" s="9"/>
    </row>
    <row r="157" spans="1:19" ht="12.75">
      <c r="A157" s="64" t="s">
        <v>25</v>
      </c>
      <c r="B157" s="64"/>
      <c r="C157" s="64"/>
      <c r="D157" s="71">
        <v>6.05</v>
      </c>
      <c r="E157" s="68" t="s">
        <v>276</v>
      </c>
      <c r="F157" s="104"/>
      <c r="G157" s="62"/>
      <c r="H157" s="62"/>
      <c r="I157" s="62"/>
      <c r="J157" s="62"/>
      <c r="K157" s="62"/>
      <c r="L157" s="61"/>
      <c r="M157" s="61"/>
      <c r="N157" s="61"/>
      <c r="O157" s="9"/>
      <c r="P157" s="9"/>
      <c r="Q157" s="9"/>
      <c r="R157" s="9"/>
      <c r="S157" s="9"/>
    </row>
    <row r="158" spans="1:19" ht="12.75">
      <c r="A158" s="64" t="s">
        <v>26</v>
      </c>
      <c r="B158" s="64"/>
      <c r="C158" s="64"/>
      <c r="D158" s="71">
        <v>15.41</v>
      </c>
      <c r="E158" s="68" t="s">
        <v>276</v>
      </c>
      <c r="F158" s="104"/>
      <c r="G158" s="62"/>
      <c r="H158" s="62"/>
      <c r="I158" s="62"/>
      <c r="J158" s="62"/>
      <c r="K158" s="62"/>
      <c r="L158" s="61"/>
      <c r="M158" s="61"/>
      <c r="N158" s="61"/>
      <c r="O158" s="9"/>
      <c r="P158" s="9"/>
      <c r="Q158" s="9"/>
      <c r="R158" s="9"/>
      <c r="S158" s="9"/>
    </row>
    <row r="159" spans="1:19" ht="12.75">
      <c r="A159" s="64" t="s">
        <v>27</v>
      </c>
      <c r="B159" s="64"/>
      <c r="C159" s="64"/>
      <c r="D159" s="71">
        <v>15.41</v>
      </c>
      <c r="E159" s="68" t="s">
        <v>276</v>
      </c>
      <c r="F159" s="104"/>
      <c r="G159" s="61" t="s">
        <v>502</v>
      </c>
      <c r="H159" s="62"/>
      <c r="I159" s="62"/>
      <c r="J159" s="104">
        <f>D149+D150+D151+D152+D153+D154+D155+D156+D157+D158+D159</f>
        <v>390.2500000000001</v>
      </c>
      <c r="K159" s="61" t="s">
        <v>276</v>
      </c>
      <c r="L159" s="61"/>
      <c r="M159" s="61"/>
      <c r="N159" s="61"/>
      <c r="O159" s="9"/>
      <c r="P159" s="9"/>
      <c r="Q159" s="9"/>
      <c r="R159" s="9"/>
      <c r="S159" s="9"/>
    </row>
    <row r="160" spans="1:19" ht="12.75">
      <c r="A160" s="61"/>
      <c r="B160" s="61"/>
      <c r="C160" s="61"/>
      <c r="D160" s="75"/>
      <c r="E160" s="75"/>
      <c r="F160" s="75"/>
      <c r="G160" s="61"/>
      <c r="H160" s="61"/>
      <c r="I160" s="61"/>
      <c r="J160" s="104"/>
      <c r="K160" s="61"/>
      <c r="L160" s="61"/>
      <c r="M160" s="61"/>
      <c r="N160" s="61"/>
      <c r="O160" s="9"/>
      <c r="P160" s="9"/>
      <c r="Q160" s="9"/>
      <c r="R160" s="9"/>
      <c r="S160" s="9"/>
    </row>
    <row r="161" spans="1:19" ht="12.75">
      <c r="A161" s="42" t="s">
        <v>143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9"/>
      <c r="P161" s="9"/>
      <c r="Q161" s="9"/>
      <c r="R161" s="9"/>
      <c r="S161" s="9"/>
    </row>
    <row r="162" spans="1:19" ht="12.75">
      <c r="A162" s="61" t="s">
        <v>144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9"/>
      <c r="P162" s="9"/>
      <c r="Q162" s="9"/>
      <c r="R162" s="9"/>
      <c r="S162" s="9"/>
    </row>
    <row r="163" spans="1:19" ht="12.75">
      <c r="A163" s="64" t="s">
        <v>557</v>
      </c>
      <c r="B163" s="64"/>
      <c r="C163" s="64"/>
      <c r="D163" s="71">
        <v>36.8</v>
      </c>
      <c r="E163" s="68" t="s">
        <v>276</v>
      </c>
      <c r="F163" s="75"/>
      <c r="G163" s="61"/>
      <c r="H163" s="123"/>
      <c r="I163" s="61" t="s">
        <v>238</v>
      </c>
      <c r="J163" s="104">
        <f>D163</f>
        <v>36.8</v>
      </c>
      <c r="K163" s="61" t="s">
        <v>276</v>
      </c>
      <c r="L163" s="61"/>
      <c r="M163" s="61"/>
      <c r="N163" s="61"/>
      <c r="O163" s="9"/>
      <c r="P163" s="9"/>
      <c r="Q163" s="9"/>
      <c r="R163" s="9"/>
      <c r="S163" s="9"/>
    </row>
    <row r="164" spans="1:19" ht="12.75">
      <c r="A164" s="64" t="s">
        <v>558</v>
      </c>
      <c r="B164" s="64"/>
      <c r="C164" s="64"/>
      <c r="D164" s="71">
        <v>15.37</v>
      </c>
      <c r="E164" s="68" t="s">
        <v>276</v>
      </c>
      <c r="F164" s="75"/>
      <c r="G164" s="61"/>
      <c r="H164" s="123"/>
      <c r="I164" s="61" t="s">
        <v>238</v>
      </c>
      <c r="J164" s="104">
        <f>D164</f>
        <v>15.37</v>
      </c>
      <c r="K164" s="61" t="s">
        <v>276</v>
      </c>
      <c r="L164" s="61"/>
      <c r="M164" s="62"/>
      <c r="N164" s="61"/>
      <c r="O164" s="9"/>
      <c r="P164" s="9"/>
      <c r="Q164" s="9"/>
      <c r="R164" s="9"/>
      <c r="S164" s="9"/>
    </row>
    <row r="165" spans="1:19" ht="12.75">
      <c r="A165" s="64" t="s">
        <v>556</v>
      </c>
      <c r="B165" s="64"/>
      <c r="C165" s="64"/>
      <c r="D165" s="71">
        <v>207.56</v>
      </c>
      <c r="E165" s="68" t="s">
        <v>276</v>
      </c>
      <c r="F165" s="75"/>
      <c r="G165" s="61"/>
      <c r="H165" s="123"/>
      <c r="I165" s="61" t="s">
        <v>238</v>
      </c>
      <c r="J165" s="75">
        <v>207.56</v>
      </c>
      <c r="K165" s="61" t="s">
        <v>276</v>
      </c>
      <c r="L165" s="61"/>
      <c r="M165" s="62"/>
      <c r="N165" s="61"/>
      <c r="O165" s="9"/>
      <c r="P165" s="9"/>
      <c r="Q165" s="9"/>
      <c r="R165" s="9"/>
      <c r="S165" s="9"/>
    </row>
    <row r="166" spans="1:19" ht="12.75">
      <c r="A166" s="64" t="s">
        <v>229</v>
      </c>
      <c r="B166" s="64"/>
      <c r="C166" s="64"/>
      <c r="D166" s="71">
        <v>6.42</v>
      </c>
      <c r="E166" s="68" t="s">
        <v>276</v>
      </c>
      <c r="F166" s="75"/>
      <c r="G166" s="61"/>
      <c r="H166" s="61" t="s">
        <v>548</v>
      </c>
      <c r="I166" s="61"/>
      <c r="J166" s="104">
        <f>J163+J164+J165</f>
        <v>259.73</v>
      </c>
      <c r="K166" s="61" t="s">
        <v>276</v>
      </c>
      <c r="L166" s="61"/>
      <c r="M166" s="61"/>
      <c r="N166" s="61"/>
      <c r="O166" s="9"/>
      <c r="P166" s="9"/>
      <c r="Q166" s="9"/>
      <c r="R166" s="9"/>
      <c r="S166" s="9"/>
    </row>
    <row r="167" spans="1:19" ht="12.75">
      <c r="A167" s="64" t="s">
        <v>230</v>
      </c>
      <c r="B167" s="64"/>
      <c r="C167" s="64"/>
      <c r="D167" s="71">
        <v>3.75</v>
      </c>
      <c r="E167" s="68" t="s">
        <v>276</v>
      </c>
      <c r="F167" s="75"/>
      <c r="G167" s="61"/>
      <c r="H167" s="61"/>
      <c r="I167" s="61"/>
      <c r="J167" s="61"/>
      <c r="K167" s="61"/>
      <c r="L167" s="61"/>
      <c r="M167" s="61"/>
      <c r="N167" s="61"/>
      <c r="O167" s="9"/>
      <c r="P167" s="9"/>
      <c r="Q167" s="9"/>
      <c r="R167" s="9"/>
      <c r="S167" s="9"/>
    </row>
    <row r="168" spans="1:19" ht="12.75">
      <c r="A168" s="64" t="s">
        <v>231</v>
      </c>
      <c r="B168" s="64"/>
      <c r="C168" s="64"/>
      <c r="D168" s="71">
        <v>3.3</v>
      </c>
      <c r="E168" s="68" t="s">
        <v>276</v>
      </c>
      <c r="F168" s="75"/>
      <c r="G168" s="61"/>
      <c r="H168" s="61"/>
      <c r="I168" s="61"/>
      <c r="J168" s="61"/>
      <c r="K168" s="61"/>
      <c r="L168" s="61"/>
      <c r="M168" s="61"/>
      <c r="N168" s="61"/>
      <c r="O168" s="9"/>
      <c r="P168" s="9"/>
      <c r="Q168" s="9"/>
      <c r="R168" s="9"/>
      <c r="S168" s="9"/>
    </row>
    <row r="169" spans="1:19" ht="12.75">
      <c r="A169" s="64" t="s">
        <v>232</v>
      </c>
      <c r="B169" s="64"/>
      <c r="C169" s="64"/>
      <c r="D169" s="71">
        <v>30.82</v>
      </c>
      <c r="E169" s="68" t="s">
        <v>276</v>
      </c>
      <c r="F169" s="75"/>
      <c r="G169" s="61"/>
      <c r="H169" s="61"/>
      <c r="I169" s="61"/>
      <c r="J169" s="61"/>
      <c r="K169" s="61"/>
      <c r="L169" s="61"/>
      <c r="M169" s="61"/>
      <c r="N169" s="61"/>
      <c r="O169" s="9"/>
      <c r="P169" s="9"/>
      <c r="Q169" s="9"/>
      <c r="R169" s="9"/>
      <c r="S169" s="9"/>
    </row>
    <row r="170" spans="1:19" ht="12.75">
      <c r="A170" s="64" t="s">
        <v>233</v>
      </c>
      <c r="B170" s="64"/>
      <c r="C170" s="64"/>
      <c r="D170" s="71">
        <v>6.05</v>
      </c>
      <c r="E170" s="68" t="s">
        <v>276</v>
      </c>
      <c r="F170" s="61"/>
      <c r="G170" s="61"/>
      <c r="H170" s="61"/>
      <c r="I170" s="61"/>
      <c r="J170" s="61"/>
      <c r="K170" s="61"/>
      <c r="L170" s="61"/>
      <c r="M170" s="61"/>
      <c r="N170" s="61"/>
      <c r="O170" s="9"/>
      <c r="P170" s="9"/>
      <c r="Q170" s="9"/>
      <c r="R170" s="9"/>
      <c r="S170" s="9"/>
    </row>
    <row r="171" spans="1:19" ht="12.75">
      <c r="A171" s="64" t="s">
        <v>234</v>
      </c>
      <c r="B171" s="64"/>
      <c r="C171" s="64"/>
      <c r="D171" s="71">
        <v>15.41</v>
      </c>
      <c r="E171" s="68" t="s">
        <v>276</v>
      </c>
      <c r="F171" s="61"/>
      <c r="G171" s="61"/>
      <c r="H171" s="61"/>
      <c r="I171" s="61"/>
      <c r="J171" s="61"/>
      <c r="K171" s="61"/>
      <c r="L171" s="61"/>
      <c r="M171" s="61"/>
      <c r="N171" s="61"/>
      <c r="O171" s="9"/>
      <c r="P171" s="9"/>
      <c r="Q171" s="9"/>
      <c r="R171" s="9"/>
      <c r="S171" s="9"/>
    </row>
    <row r="172" spans="1:19" ht="12.75">
      <c r="A172" s="64" t="s">
        <v>235</v>
      </c>
      <c r="B172" s="64"/>
      <c r="C172" s="64"/>
      <c r="D172" s="71">
        <v>15.41</v>
      </c>
      <c r="E172" s="68" t="s">
        <v>276</v>
      </c>
      <c r="F172" s="40"/>
      <c r="G172" s="105"/>
      <c r="H172" s="40"/>
      <c r="I172" s="42" t="s">
        <v>236</v>
      </c>
      <c r="J172" s="44">
        <f>D166+D169+D170</f>
        <v>43.29</v>
      </c>
      <c r="K172" s="42" t="s">
        <v>276</v>
      </c>
      <c r="L172" s="40"/>
      <c r="M172" s="40"/>
      <c r="N172" s="43"/>
      <c r="O172" s="9"/>
      <c r="P172" s="9"/>
      <c r="Q172" s="9"/>
      <c r="R172" s="9"/>
      <c r="S172" s="9"/>
    </row>
    <row r="173" spans="1:19" ht="12.75">
      <c r="A173" s="64"/>
      <c r="B173" s="64"/>
      <c r="C173" s="64"/>
      <c r="D173" s="71"/>
      <c r="E173" s="68"/>
      <c r="F173" s="40"/>
      <c r="G173" s="105"/>
      <c r="H173" s="40"/>
      <c r="I173" s="42" t="s">
        <v>237</v>
      </c>
      <c r="J173" s="44">
        <f>D167+D168+D171+D172</f>
        <v>37.870000000000005</v>
      </c>
      <c r="K173" s="42" t="s">
        <v>276</v>
      </c>
      <c r="L173" s="40"/>
      <c r="M173" s="40"/>
      <c r="N173" s="40"/>
      <c r="O173" s="9"/>
      <c r="P173" s="9"/>
      <c r="Q173" s="9"/>
      <c r="R173" s="9"/>
      <c r="S173" s="9"/>
    </row>
    <row r="174" spans="1:19" ht="12.75">
      <c r="A174" s="61" t="s">
        <v>145</v>
      </c>
      <c r="B174" s="64"/>
      <c r="C174" s="64"/>
      <c r="D174" s="71"/>
      <c r="E174" s="68"/>
      <c r="F174" s="40"/>
      <c r="G174" s="40"/>
      <c r="H174" s="40"/>
      <c r="I174" s="40"/>
      <c r="J174" s="44"/>
      <c r="K174" s="42"/>
      <c r="L174" s="40"/>
      <c r="M174" s="40"/>
      <c r="N174" s="40"/>
      <c r="O174" s="9"/>
      <c r="P174" s="9"/>
      <c r="Q174" s="9"/>
      <c r="R174" s="9"/>
      <c r="S174" s="9"/>
    </row>
    <row r="175" spans="1:19" ht="12.75">
      <c r="A175" s="64" t="s">
        <v>228</v>
      </c>
      <c r="B175" s="64"/>
      <c r="C175" s="64"/>
      <c r="D175" s="71">
        <v>49.36</v>
      </c>
      <c r="E175" s="68" t="s">
        <v>276</v>
      </c>
      <c r="F175" s="40"/>
      <c r="G175" s="40"/>
      <c r="H175" s="40"/>
      <c r="I175" s="40"/>
      <c r="J175" s="44">
        <f>D175</f>
        <v>49.36</v>
      </c>
      <c r="K175" s="42" t="s">
        <v>276</v>
      </c>
      <c r="L175" s="40"/>
      <c r="M175" s="40"/>
      <c r="N175" s="40"/>
      <c r="O175" s="9"/>
      <c r="P175" s="9"/>
      <c r="Q175" s="9"/>
      <c r="R175" s="9"/>
      <c r="S175" s="9"/>
    </row>
    <row r="176" spans="1:19" ht="9.75" customHeight="1">
      <c r="A176" s="64"/>
      <c r="B176" s="64"/>
      <c r="C176" s="64"/>
      <c r="D176" s="71"/>
      <c r="E176" s="68"/>
      <c r="F176" s="40"/>
      <c r="G176" s="40"/>
      <c r="H176" s="40"/>
      <c r="I176" s="40"/>
      <c r="J176" s="44"/>
      <c r="K176" s="42"/>
      <c r="L176" s="40"/>
      <c r="M176" s="40"/>
      <c r="N176" s="40"/>
      <c r="O176" s="9"/>
      <c r="P176" s="9"/>
      <c r="Q176" s="9"/>
      <c r="R176" s="9"/>
      <c r="S176" s="9"/>
    </row>
    <row r="177" spans="1:19" ht="12.75">
      <c r="A177" s="61" t="s">
        <v>146</v>
      </c>
      <c r="B177" s="64"/>
      <c r="C177" s="64"/>
      <c r="D177" s="71"/>
      <c r="E177" s="68"/>
      <c r="F177" s="40"/>
      <c r="G177" s="40"/>
      <c r="H177" s="40"/>
      <c r="I177" s="40"/>
      <c r="J177" s="44">
        <v>172.1</v>
      </c>
      <c r="K177" s="42" t="s">
        <v>278</v>
      </c>
      <c r="L177" s="40"/>
      <c r="M177" s="40"/>
      <c r="N177" s="40"/>
      <c r="O177" s="9"/>
      <c r="P177" s="9"/>
      <c r="Q177" s="9"/>
      <c r="R177" s="9"/>
      <c r="S177" s="9"/>
    </row>
    <row r="178" spans="1:19" ht="12" customHeight="1">
      <c r="A178" s="64"/>
      <c r="B178" s="64"/>
      <c r="C178" s="64"/>
      <c r="D178" s="71"/>
      <c r="E178" s="68"/>
      <c r="F178" s="40"/>
      <c r="G178" s="40"/>
      <c r="H178" s="40"/>
      <c r="I178" s="40"/>
      <c r="J178" s="44"/>
      <c r="K178" s="42"/>
      <c r="L178" s="40"/>
      <c r="M178" s="40"/>
      <c r="N178" s="40"/>
      <c r="O178" s="9"/>
      <c r="P178" s="9"/>
      <c r="Q178" s="9"/>
      <c r="R178" s="9"/>
      <c r="S178" s="9"/>
    </row>
    <row r="179" spans="1:19" ht="12.75">
      <c r="A179" s="42" t="s">
        <v>147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31"/>
      <c r="P179" s="9"/>
      <c r="Q179" s="9"/>
      <c r="R179" s="9"/>
      <c r="S179" s="9"/>
    </row>
    <row r="180" spans="1:19" ht="12.75">
      <c r="A180" s="68" t="s">
        <v>148</v>
      </c>
      <c r="B180" s="43"/>
      <c r="C180" s="43"/>
      <c r="D180" s="43"/>
      <c r="E180" s="43">
        <v>20.05</v>
      </c>
      <c r="F180" s="43" t="s">
        <v>278</v>
      </c>
      <c r="G180" s="43"/>
      <c r="H180" s="43"/>
      <c r="I180" s="43"/>
      <c r="J180" s="44"/>
      <c r="K180" s="44"/>
      <c r="L180" s="43"/>
      <c r="M180" s="43"/>
      <c r="N180" s="43"/>
      <c r="O180" s="31"/>
      <c r="P180" s="9"/>
      <c r="Q180" s="9"/>
      <c r="R180" s="9"/>
      <c r="S180" s="9"/>
    </row>
    <row r="181" spans="1:19" ht="12.75">
      <c r="A181" s="106"/>
      <c r="B181" s="43"/>
      <c r="C181" s="43"/>
      <c r="D181" s="43"/>
      <c r="E181" s="43">
        <v>16.88</v>
      </c>
      <c r="F181" s="43" t="s">
        <v>278</v>
      </c>
      <c r="G181" s="43"/>
      <c r="H181" s="43"/>
      <c r="I181" s="43"/>
      <c r="J181" s="44">
        <f>E180*E181</f>
        <v>338.444</v>
      </c>
      <c r="K181" s="44" t="s">
        <v>276</v>
      </c>
      <c r="L181" s="43"/>
      <c r="M181" s="69"/>
      <c r="N181" s="69"/>
      <c r="O181" s="31"/>
      <c r="P181" s="9"/>
      <c r="Q181" s="9"/>
      <c r="R181" s="9"/>
      <c r="S181" s="9"/>
    </row>
    <row r="182" spans="1:19" ht="12.75">
      <c r="A182" s="68" t="s">
        <v>591</v>
      </c>
      <c r="B182" s="43"/>
      <c r="C182" s="43"/>
      <c r="D182" s="43"/>
      <c r="E182" s="43"/>
      <c r="F182" s="43"/>
      <c r="G182" s="43"/>
      <c r="H182" s="43"/>
      <c r="I182" s="43"/>
      <c r="J182" s="44"/>
      <c r="K182" s="44"/>
      <c r="L182" s="43"/>
      <c r="M182" s="69"/>
      <c r="N182" s="69"/>
      <c r="O182" s="31"/>
      <c r="P182" s="9"/>
      <c r="Q182" s="9"/>
      <c r="R182" s="9"/>
      <c r="S182" s="9"/>
    </row>
    <row r="183" spans="1:19" ht="12.75">
      <c r="A183" s="68" t="s">
        <v>28</v>
      </c>
      <c r="B183" s="43"/>
      <c r="C183" s="43"/>
      <c r="D183" s="43"/>
      <c r="E183" s="43">
        <f>J181</f>
        <v>338.444</v>
      </c>
      <c r="F183" s="43" t="str">
        <f>K181</f>
        <v>m²</v>
      </c>
      <c r="G183" s="43"/>
      <c r="H183" s="43"/>
      <c r="I183" s="43"/>
      <c r="J183" s="44"/>
      <c r="K183" s="44"/>
      <c r="L183" s="43"/>
      <c r="M183" s="69"/>
      <c r="N183" s="69"/>
      <c r="O183" s="31"/>
      <c r="P183" s="9"/>
      <c r="Q183" s="9"/>
      <c r="R183" s="9"/>
      <c r="S183" s="9"/>
    </row>
    <row r="184" spans="1:19" ht="12.75">
      <c r="A184" s="68" t="s">
        <v>592</v>
      </c>
      <c r="B184" s="43"/>
      <c r="C184" s="43"/>
      <c r="D184" s="43"/>
      <c r="E184" s="43"/>
      <c r="F184" s="43"/>
      <c r="G184" s="43"/>
      <c r="H184" s="43"/>
      <c r="I184" s="43"/>
      <c r="J184" s="44"/>
      <c r="K184" s="44"/>
      <c r="L184" s="43"/>
      <c r="M184" s="69"/>
      <c r="N184" s="69"/>
      <c r="O184" s="31"/>
      <c r="P184" s="9"/>
      <c r="Q184" s="9"/>
      <c r="R184" s="9"/>
      <c r="S184" s="9"/>
    </row>
    <row r="185" spans="1:19" ht="12.75">
      <c r="A185" s="68" t="s">
        <v>29</v>
      </c>
      <c r="B185" s="43"/>
      <c r="C185" s="43"/>
      <c r="D185" s="43"/>
      <c r="E185" s="43">
        <v>58.16</v>
      </c>
      <c r="F185" s="43" t="s">
        <v>276</v>
      </c>
      <c r="G185" s="43"/>
      <c r="H185" s="43"/>
      <c r="I185" s="43"/>
      <c r="J185" s="44">
        <f>E183+E185</f>
        <v>396.60400000000004</v>
      </c>
      <c r="K185" s="44" t="s">
        <v>276</v>
      </c>
      <c r="L185" s="43"/>
      <c r="M185" s="69"/>
      <c r="N185" s="69"/>
      <c r="O185" s="31"/>
      <c r="P185" s="9"/>
      <c r="Q185" s="9"/>
      <c r="R185" s="9"/>
      <c r="S185" s="9"/>
    </row>
    <row r="186" spans="1:19" ht="6.75" customHeight="1">
      <c r="A186" s="106"/>
      <c r="B186" s="43"/>
      <c r="C186" s="43"/>
      <c r="D186" s="43"/>
      <c r="E186" s="43"/>
      <c r="F186" s="43"/>
      <c r="G186" s="43"/>
      <c r="H186" s="43"/>
      <c r="I186" s="43"/>
      <c r="J186" s="44"/>
      <c r="K186" s="44"/>
      <c r="L186" s="43"/>
      <c r="M186" s="69"/>
      <c r="N186" s="69"/>
      <c r="O186" s="31"/>
      <c r="P186" s="9"/>
      <c r="Q186" s="9"/>
      <c r="R186" s="9"/>
      <c r="S186" s="9"/>
    </row>
    <row r="187" spans="1:19" ht="7.5" customHeight="1">
      <c r="A187" s="106"/>
      <c r="B187" s="43"/>
      <c r="C187" s="43"/>
      <c r="D187" s="43"/>
      <c r="E187" s="43"/>
      <c r="F187" s="43"/>
      <c r="G187" s="43"/>
      <c r="H187" s="43"/>
      <c r="I187" s="43"/>
      <c r="J187" s="44"/>
      <c r="K187" s="44"/>
      <c r="L187" s="43"/>
      <c r="M187" s="69"/>
      <c r="N187" s="69"/>
      <c r="O187" s="31"/>
      <c r="P187" s="9"/>
      <c r="Q187" s="9"/>
      <c r="R187" s="9"/>
      <c r="S187" s="9"/>
    </row>
    <row r="188" spans="1:19" ht="12.75">
      <c r="A188" s="42" t="s">
        <v>149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31"/>
      <c r="P188" s="9"/>
      <c r="Q188" s="9"/>
      <c r="R188" s="9"/>
      <c r="S188" s="9"/>
    </row>
    <row r="189" spans="1:19" ht="12.75">
      <c r="A189" s="68" t="s">
        <v>150</v>
      </c>
      <c r="B189" s="43"/>
      <c r="C189" s="43"/>
      <c r="D189" s="43"/>
      <c r="E189" s="43"/>
      <c r="F189" s="43"/>
      <c r="G189" s="43"/>
      <c r="H189" s="43"/>
      <c r="I189" s="43"/>
      <c r="J189" s="44"/>
      <c r="K189" s="44"/>
      <c r="L189" s="43"/>
      <c r="M189" s="43"/>
      <c r="N189" s="43"/>
      <c r="O189" s="31"/>
      <c r="P189" s="9"/>
      <c r="Q189" s="9"/>
      <c r="R189" s="9"/>
      <c r="S189" s="9"/>
    </row>
    <row r="190" spans="1:19" ht="12.75">
      <c r="A190" s="68" t="s">
        <v>30</v>
      </c>
      <c r="B190" s="43"/>
      <c r="C190" s="43">
        <v>22.4</v>
      </c>
      <c r="D190" s="43" t="s">
        <v>276</v>
      </c>
      <c r="E190" s="43" t="s">
        <v>502</v>
      </c>
      <c r="F190" s="44">
        <f>C190+C191</f>
        <v>32.48</v>
      </c>
      <c r="G190" s="44" t="s">
        <v>276</v>
      </c>
      <c r="H190" s="43"/>
      <c r="I190" s="43"/>
      <c r="J190" s="44">
        <v>4</v>
      </c>
      <c r="K190" s="44" t="s">
        <v>309</v>
      </c>
      <c r="L190" s="43"/>
      <c r="M190" s="43"/>
      <c r="N190" s="43"/>
      <c r="O190" s="31"/>
      <c r="P190" s="9"/>
      <c r="Q190" s="9"/>
      <c r="R190" s="9"/>
      <c r="S190" s="9"/>
    </row>
    <row r="191" spans="1:19" ht="12.75">
      <c r="A191" s="68" t="s">
        <v>31</v>
      </c>
      <c r="B191" s="43"/>
      <c r="C191" s="43">
        <v>10.08</v>
      </c>
      <c r="D191" s="43" t="s">
        <v>276</v>
      </c>
      <c r="E191" s="43"/>
      <c r="F191" s="43"/>
      <c r="G191" s="43"/>
      <c r="H191" s="43"/>
      <c r="I191" s="43"/>
      <c r="J191" s="44">
        <v>3</v>
      </c>
      <c r="K191" s="44" t="s">
        <v>309</v>
      </c>
      <c r="L191" s="43"/>
      <c r="M191" s="43"/>
      <c r="N191" s="43"/>
      <c r="O191" s="31"/>
      <c r="P191" s="9"/>
      <c r="Q191" s="9"/>
      <c r="R191" s="9"/>
      <c r="S191" s="9"/>
    </row>
    <row r="192" spans="1:19" ht="12.75">
      <c r="A192" s="68" t="s">
        <v>33</v>
      </c>
      <c r="B192" s="43"/>
      <c r="C192" s="43"/>
      <c r="D192" s="43"/>
      <c r="E192" s="43"/>
      <c r="F192" s="43"/>
      <c r="G192" s="43"/>
      <c r="H192" s="43"/>
      <c r="I192" s="43"/>
      <c r="J192" s="44">
        <v>4</v>
      </c>
      <c r="K192" s="44" t="s">
        <v>309</v>
      </c>
      <c r="L192" s="43"/>
      <c r="M192" s="43"/>
      <c r="N192" s="43"/>
      <c r="O192" s="31"/>
      <c r="P192" s="9"/>
      <c r="Q192" s="9"/>
      <c r="R192" s="9"/>
      <c r="S192" s="9"/>
    </row>
    <row r="193" spans="1:19" ht="12.75">
      <c r="A193" s="68" t="s">
        <v>34</v>
      </c>
      <c r="B193" s="43"/>
      <c r="C193" s="43"/>
      <c r="D193" s="43"/>
      <c r="E193" s="43"/>
      <c r="F193" s="43"/>
      <c r="G193" s="43"/>
      <c r="H193" s="43"/>
      <c r="I193" s="43"/>
      <c r="J193" s="44">
        <v>2</v>
      </c>
      <c r="K193" s="44" t="s">
        <v>309</v>
      </c>
      <c r="L193" s="43"/>
      <c r="M193" s="43"/>
      <c r="N193" s="43"/>
      <c r="O193" s="31"/>
      <c r="P193" s="9"/>
      <c r="Q193" s="9"/>
      <c r="R193" s="9"/>
      <c r="S193" s="9"/>
    </row>
    <row r="194" spans="1:19" ht="12.75">
      <c r="A194" s="68" t="s">
        <v>32</v>
      </c>
      <c r="B194" s="43"/>
      <c r="C194" s="43"/>
      <c r="D194" s="43"/>
      <c r="E194" s="43"/>
      <c r="F194" s="43"/>
      <c r="G194" s="43"/>
      <c r="H194" s="43"/>
      <c r="I194" s="43"/>
      <c r="J194" s="44">
        <v>1</v>
      </c>
      <c r="K194" s="44" t="s">
        <v>309</v>
      </c>
      <c r="L194" s="43"/>
      <c r="M194" s="43"/>
      <c r="N194" s="43"/>
      <c r="O194" s="31"/>
      <c r="P194" s="9"/>
      <c r="Q194" s="9"/>
      <c r="R194" s="9"/>
      <c r="S194" s="9"/>
    </row>
    <row r="195" spans="1:19" ht="6" customHeight="1">
      <c r="A195" s="68"/>
      <c r="B195" s="43"/>
      <c r="C195" s="43"/>
      <c r="D195" s="43"/>
      <c r="E195" s="43"/>
      <c r="F195" s="43"/>
      <c r="G195" s="43"/>
      <c r="H195" s="43"/>
      <c r="I195" s="43"/>
      <c r="J195" s="44"/>
      <c r="K195" s="44"/>
      <c r="L195" s="43"/>
      <c r="M195" s="43"/>
      <c r="N195" s="43"/>
      <c r="O195" s="31"/>
      <c r="P195" s="9"/>
      <c r="Q195" s="9"/>
      <c r="R195" s="9"/>
      <c r="S195" s="9"/>
    </row>
    <row r="196" spans="1:19" ht="12.75">
      <c r="A196" s="68" t="s">
        <v>151</v>
      </c>
      <c r="B196" s="43"/>
      <c r="C196" s="43"/>
      <c r="D196" s="43"/>
      <c r="E196" s="43"/>
      <c r="F196" s="43"/>
      <c r="G196" s="43"/>
      <c r="H196" s="43"/>
      <c r="I196" s="43"/>
      <c r="J196" s="44"/>
      <c r="K196" s="44"/>
      <c r="L196" s="43"/>
      <c r="M196" s="43"/>
      <c r="N196" s="43"/>
      <c r="O196" s="31"/>
      <c r="P196" s="9"/>
      <c r="Q196" s="9"/>
      <c r="R196" s="9"/>
      <c r="S196" s="9"/>
    </row>
    <row r="197" spans="1:19" ht="12.75">
      <c r="A197" s="68" t="s">
        <v>586</v>
      </c>
      <c r="B197" s="43"/>
      <c r="C197" s="43">
        <f>0.72*J197</f>
        <v>5.76</v>
      </c>
      <c r="D197" s="43" t="s">
        <v>276</v>
      </c>
      <c r="E197" s="43"/>
      <c r="F197" s="43"/>
      <c r="G197" s="43"/>
      <c r="H197" s="43"/>
      <c r="I197" s="43"/>
      <c r="J197" s="44">
        <v>8</v>
      </c>
      <c r="K197" s="44" t="s">
        <v>309</v>
      </c>
      <c r="L197" s="43"/>
      <c r="M197" s="43"/>
      <c r="N197" s="43"/>
      <c r="O197" s="31"/>
      <c r="P197" s="9"/>
      <c r="Q197" s="9"/>
      <c r="R197" s="9"/>
      <c r="S197" s="9"/>
    </row>
    <row r="198" spans="1:19" ht="12.75">
      <c r="A198" s="68" t="s">
        <v>582</v>
      </c>
      <c r="B198" s="43"/>
      <c r="C198" s="71">
        <f>4.6*J198</f>
        <v>9.2</v>
      </c>
      <c r="D198" s="43" t="s">
        <v>276</v>
      </c>
      <c r="E198" s="43"/>
      <c r="F198" s="43"/>
      <c r="G198" s="43"/>
      <c r="H198" s="43"/>
      <c r="I198" s="43"/>
      <c r="J198" s="44">
        <v>2</v>
      </c>
      <c r="K198" s="44" t="s">
        <v>309</v>
      </c>
      <c r="L198" s="43"/>
      <c r="M198" s="43"/>
      <c r="N198" s="43"/>
      <c r="O198" s="31"/>
      <c r="P198" s="9"/>
      <c r="Q198" s="9"/>
      <c r="R198" s="9"/>
      <c r="S198" s="9"/>
    </row>
    <row r="199" spans="1:19" ht="12.75">
      <c r="A199" s="68" t="s">
        <v>583</v>
      </c>
      <c r="B199" s="43"/>
      <c r="C199" s="43">
        <f>1.73*J199</f>
        <v>3.46</v>
      </c>
      <c r="D199" s="43" t="s">
        <v>276</v>
      </c>
      <c r="E199" s="43"/>
      <c r="F199" s="43"/>
      <c r="G199" s="43"/>
      <c r="H199" s="43"/>
      <c r="I199" s="43"/>
      <c r="J199" s="44">
        <v>2</v>
      </c>
      <c r="K199" s="44" t="s">
        <v>309</v>
      </c>
      <c r="L199" s="43"/>
      <c r="M199" s="43"/>
      <c r="N199" s="43"/>
      <c r="O199" s="31"/>
      <c r="P199" s="9"/>
      <c r="Q199" s="9"/>
      <c r="R199" s="9"/>
      <c r="S199" s="9"/>
    </row>
    <row r="200" spans="1:19" ht="12.75">
      <c r="A200" s="68" t="s">
        <v>584</v>
      </c>
      <c r="B200" s="43"/>
      <c r="C200" s="43">
        <f>2.76*J200</f>
        <v>22.08</v>
      </c>
      <c r="D200" s="43" t="s">
        <v>276</v>
      </c>
      <c r="E200" s="44"/>
      <c r="F200" s="44"/>
      <c r="G200" s="43"/>
      <c r="H200" s="43"/>
      <c r="I200" s="43"/>
      <c r="J200" s="44">
        <v>8</v>
      </c>
      <c r="K200" s="44" t="s">
        <v>309</v>
      </c>
      <c r="L200" s="43"/>
      <c r="M200" s="43"/>
      <c r="N200" s="43"/>
      <c r="O200" s="31"/>
      <c r="P200" s="9"/>
      <c r="Q200" s="9"/>
      <c r="R200" s="9"/>
      <c r="S200" s="9"/>
    </row>
    <row r="201" spans="1:19" ht="12.75">
      <c r="A201" s="68" t="s">
        <v>585</v>
      </c>
      <c r="B201" s="43"/>
      <c r="C201" s="43">
        <f>1.38*J201</f>
        <v>11.04</v>
      </c>
      <c r="D201" s="43" t="s">
        <v>276</v>
      </c>
      <c r="E201" s="44">
        <f>C197+C198+C199+C200+C201</f>
        <v>51.54</v>
      </c>
      <c r="F201" s="44" t="s">
        <v>276</v>
      </c>
      <c r="G201" s="43"/>
      <c r="H201" s="43"/>
      <c r="I201" s="43"/>
      <c r="J201" s="44">
        <v>8</v>
      </c>
      <c r="K201" s="44" t="s">
        <v>309</v>
      </c>
      <c r="L201" s="43"/>
      <c r="M201" s="43"/>
      <c r="N201" s="43"/>
      <c r="O201" s="31"/>
      <c r="P201" s="9"/>
      <c r="Q201" s="9"/>
      <c r="R201" s="9"/>
      <c r="S201" s="9"/>
    </row>
    <row r="202" spans="1:19" ht="12.75">
      <c r="A202" s="68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31"/>
      <c r="P202" s="9"/>
      <c r="Q202" s="9"/>
      <c r="R202" s="9"/>
      <c r="S202" s="9"/>
    </row>
    <row r="203" spans="1:19" ht="12.75">
      <c r="A203" s="42" t="s">
        <v>152</v>
      </c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31"/>
      <c r="P203" s="9"/>
      <c r="Q203" s="9"/>
      <c r="R203" s="9"/>
      <c r="S203" s="9"/>
    </row>
    <row r="204" spans="1:19" ht="12.75">
      <c r="A204" s="64" t="s">
        <v>35</v>
      </c>
      <c r="B204" s="40"/>
      <c r="C204" s="40"/>
      <c r="D204" s="40"/>
      <c r="E204" s="40"/>
      <c r="F204" s="40"/>
      <c r="G204" s="40"/>
      <c r="H204" s="40"/>
      <c r="I204" s="40"/>
      <c r="J204" s="44">
        <v>8</v>
      </c>
      <c r="K204" s="42" t="s">
        <v>309</v>
      </c>
      <c r="L204" s="40"/>
      <c r="M204" s="40"/>
      <c r="N204" s="40"/>
      <c r="O204" s="9"/>
      <c r="P204" s="9"/>
      <c r="Q204" s="9"/>
      <c r="R204" s="9"/>
      <c r="S204" s="9"/>
    </row>
    <row r="205" spans="1:19" ht="12.75">
      <c r="A205" s="64" t="s">
        <v>36</v>
      </c>
      <c r="B205" s="40"/>
      <c r="C205" s="40"/>
      <c r="D205" s="40"/>
      <c r="E205" s="40"/>
      <c r="F205" s="40"/>
      <c r="G205" s="40"/>
      <c r="H205" s="40"/>
      <c r="I205" s="40"/>
      <c r="J205" s="44">
        <v>1</v>
      </c>
      <c r="K205" s="42" t="s">
        <v>309</v>
      </c>
      <c r="L205" s="40"/>
      <c r="M205" s="40"/>
      <c r="N205" s="40"/>
      <c r="O205" s="9"/>
      <c r="P205" s="9"/>
      <c r="Q205" s="9"/>
      <c r="R205" s="9"/>
      <c r="S205" s="9"/>
    </row>
    <row r="206" spans="1:19" ht="12.75">
      <c r="A206" s="64" t="s">
        <v>539</v>
      </c>
      <c r="B206" s="40"/>
      <c r="C206" s="40"/>
      <c r="D206" s="40"/>
      <c r="E206" s="40"/>
      <c r="F206" s="40"/>
      <c r="G206" s="40"/>
      <c r="H206" s="40"/>
      <c r="I206" s="40"/>
      <c r="J206" s="44">
        <v>8</v>
      </c>
      <c r="K206" s="42" t="s">
        <v>309</v>
      </c>
      <c r="L206" s="40"/>
      <c r="M206" s="40"/>
      <c r="N206" s="40"/>
      <c r="O206" s="9"/>
      <c r="P206" s="9"/>
      <c r="Q206" s="9"/>
      <c r="R206" s="9"/>
      <c r="S206" s="9"/>
    </row>
    <row r="207" spans="1:19" ht="12.75">
      <c r="A207" s="64" t="s">
        <v>540</v>
      </c>
      <c r="B207" s="40"/>
      <c r="C207" s="40"/>
      <c r="D207" s="40"/>
      <c r="E207" s="40"/>
      <c r="F207" s="40"/>
      <c r="G207" s="40"/>
      <c r="H207" s="40"/>
      <c r="I207" s="40"/>
      <c r="J207" s="44">
        <v>1</v>
      </c>
      <c r="K207" s="42" t="s">
        <v>309</v>
      </c>
      <c r="L207" s="40"/>
      <c r="M207" s="40"/>
      <c r="N207" s="40"/>
      <c r="O207" s="9"/>
      <c r="P207" s="9"/>
      <c r="Q207" s="9"/>
      <c r="R207" s="9"/>
      <c r="S207" s="9"/>
    </row>
    <row r="208" spans="1:19" ht="12.75">
      <c r="A208" s="40" t="s">
        <v>37</v>
      </c>
      <c r="B208" s="40"/>
      <c r="C208" s="40"/>
      <c r="D208" s="40"/>
      <c r="E208" s="40"/>
      <c r="F208" s="40"/>
      <c r="G208" s="40"/>
      <c r="H208" s="40"/>
      <c r="I208" s="40"/>
      <c r="J208" s="44">
        <v>2</v>
      </c>
      <c r="K208" s="42" t="s">
        <v>309</v>
      </c>
      <c r="L208" s="40"/>
      <c r="M208" s="40"/>
      <c r="N208" s="40"/>
      <c r="O208" s="9"/>
      <c r="P208" s="9"/>
      <c r="Q208" s="9"/>
      <c r="R208" s="9"/>
      <c r="S208" s="9"/>
    </row>
    <row r="209" spans="1:19" ht="12.75">
      <c r="A209" s="40" t="s">
        <v>544</v>
      </c>
      <c r="B209" s="40"/>
      <c r="C209" s="40"/>
      <c r="D209" s="40"/>
      <c r="E209" s="40"/>
      <c r="F209" s="40"/>
      <c r="G209" s="40"/>
      <c r="H209" s="40"/>
      <c r="I209" s="40"/>
      <c r="J209" s="44">
        <v>4</v>
      </c>
      <c r="K209" s="42" t="s">
        <v>309</v>
      </c>
      <c r="L209" s="40"/>
      <c r="M209" s="40"/>
      <c r="N209" s="40"/>
      <c r="O209" s="9"/>
      <c r="P209" s="9"/>
      <c r="Q209" s="9"/>
      <c r="R209" s="9"/>
      <c r="S209" s="9"/>
    </row>
    <row r="210" spans="1:19" ht="12.75">
      <c r="A210" s="40" t="s">
        <v>239</v>
      </c>
      <c r="B210" s="40"/>
      <c r="C210" s="40"/>
      <c r="D210" s="40"/>
      <c r="E210" s="40"/>
      <c r="F210" s="40"/>
      <c r="G210" s="40"/>
      <c r="H210" s="40"/>
      <c r="I210" s="40"/>
      <c r="J210" s="44">
        <v>2</v>
      </c>
      <c r="K210" s="42" t="s">
        <v>309</v>
      </c>
      <c r="L210" s="40"/>
      <c r="M210" s="40"/>
      <c r="N210" s="40"/>
      <c r="O210" s="9"/>
      <c r="P210" s="9"/>
      <c r="Q210" s="9"/>
      <c r="R210" s="9"/>
      <c r="S210" s="9"/>
    </row>
    <row r="211" spans="1:19" ht="12.75">
      <c r="A211" s="40" t="s">
        <v>541</v>
      </c>
      <c r="B211" s="40"/>
      <c r="C211" s="40"/>
      <c r="D211" s="40"/>
      <c r="E211" s="40"/>
      <c r="F211" s="40"/>
      <c r="G211" s="40"/>
      <c r="H211" s="40"/>
      <c r="I211" s="40"/>
      <c r="J211" s="44">
        <v>9</v>
      </c>
      <c r="K211" s="42" t="s">
        <v>309</v>
      </c>
      <c r="L211" s="40"/>
      <c r="M211" s="40"/>
      <c r="N211" s="40"/>
      <c r="O211" s="9"/>
      <c r="P211" s="9"/>
      <c r="Q211" s="9"/>
      <c r="R211" s="9"/>
      <c r="S211" s="9"/>
    </row>
    <row r="212" spans="1:19" ht="12.75">
      <c r="A212" s="40" t="s">
        <v>542</v>
      </c>
      <c r="B212" s="40"/>
      <c r="C212" s="40"/>
      <c r="D212" s="40"/>
      <c r="E212" s="40"/>
      <c r="F212" s="40"/>
      <c r="G212" s="40"/>
      <c r="H212" s="40"/>
      <c r="I212" s="40"/>
      <c r="J212" s="44">
        <v>9</v>
      </c>
      <c r="K212" s="42" t="s">
        <v>309</v>
      </c>
      <c r="L212" s="40"/>
      <c r="M212" s="40"/>
      <c r="N212" s="40"/>
      <c r="O212" s="9"/>
      <c r="P212" s="9"/>
      <c r="Q212" s="9"/>
      <c r="R212" s="9"/>
      <c r="S212" s="9"/>
    </row>
    <row r="213" spans="1:19" ht="12.75">
      <c r="A213" s="40" t="s">
        <v>543</v>
      </c>
      <c r="B213" s="40"/>
      <c r="C213" s="40"/>
      <c r="D213" s="40"/>
      <c r="E213" s="40"/>
      <c r="F213" s="40"/>
      <c r="G213" s="40"/>
      <c r="H213" s="40"/>
      <c r="I213" s="40"/>
      <c r="J213" s="44">
        <v>9</v>
      </c>
      <c r="K213" s="42" t="s">
        <v>309</v>
      </c>
      <c r="L213" s="40"/>
      <c r="M213" s="40"/>
      <c r="N213" s="40"/>
      <c r="O213" s="9"/>
      <c r="P213" s="9"/>
      <c r="Q213" s="9"/>
      <c r="R213" s="9"/>
      <c r="S213" s="9"/>
    </row>
    <row r="214" spans="1:19" ht="12.75">
      <c r="A214" s="40"/>
      <c r="B214" s="40"/>
      <c r="C214" s="40"/>
      <c r="D214" s="40"/>
      <c r="E214" s="40"/>
      <c r="F214" s="40"/>
      <c r="G214" s="40"/>
      <c r="H214" s="40"/>
      <c r="I214" s="40"/>
      <c r="J214" s="43"/>
      <c r="K214" s="40"/>
      <c r="L214" s="40"/>
      <c r="M214" s="40"/>
      <c r="N214" s="40"/>
      <c r="O214" s="9"/>
      <c r="P214" s="9"/>
      <c r="Q214" s="9"/>
      <c r="R214" s="9"/>
      <c r="S214" s="9"/>
    </row>
    <row r="215" spans="1:19" ht="12.75">
      <c r="A215" s="42" t="s">
        <v>153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9"/>
      <c r="P215" s="9"/>
      <c r="Q215" s="9"/>
      <c r="R215" s="9"/>
      <c r="S215" s="9"/>
    </row>
    <row r="216" spans="1:19" ht="12.75">
      <c r="A216" s="40" t="s">
        <v>38</v>
      </c>
      <c r="B216" s="40"/>
      <c r="C216" s="40"/>
      <c r="D216" s="40">
        <v>22.68</v>
      </c>
      <c r="E216" s="40" t="s">
        <v>278</v>
      </c>
      <c r="F216" s="40"/>
      <c r="G216" s="40"/>
      <c r="H216" s="40"/>
      <c r="I216" s="40"/>
      <c r="J216" s="44"/>
      <c r="K216" s="42"/>
      <c r="L216" s="40"/>
      <c r="M216" s="40"/>
      <c r="N216" s="40"/>
      <c r="O216" s="9"/>
      <c r="P216" s="9"/>
      <c r="Q216" s="9"/>
      <c r="R216" s="9"/>
      <c r="S216" s="9"/>
    </row>
    <row r="217" spans="1:19" ht="12.75">
      <c r="A217" s="40"/>
      <c r="B217" s="40"/>
      <c r="C217" s="40"/>
      <c r="D217" s="43">
        <v>2.2</v>
      </c>
      <c r="E217" s="43" t="s">
        <v>278</v>
      </c>
      <c r="F217" s="43"/>
      <c r="G217" s="40"/>
      <c r="H217" s="40"/>
      <c r="I217" s="40"/>
      <c r="J217" s="44">
        <f>D216*D217</f>
        <v>49.896</v>
      </c>
      <c r="K217" s="42" t="s">
        <v>276</v>
      </c>
      <c r="L217" s="40"/>
      <c r="M217" s="40"/>
      <c r="N217" s="40"/>
      <c r="O217" s="9"/>
      <c r="P217" s="9"/>
      <c r="Q217" s="9"/>
      <c r="R217" s="9"/>
      <c r="S217" s="9"/>
    </row>
    <row r="218" spans="1:19" ht="12.75">
      <c r="A218" s="40" t="s">
        <v>39</v>
      </c>
      <c r="B218" s="40"/>
      <c r="C218" s="40"/>
      <c r="D218" s="43"/>
      <c r="E218" s="43"/>
      <c r="F218" s="43"/>
      <c r="G218" s="40"/>
      <c r="H218" s="40"/>
      <c r="I218" s="40"/>
      <c r="J218" s="44">
        <v>8</v>
      </c>
      <c r="K218" s="42" t="s">
        <v>309</v>
      </c>
      <c r="L218" s="40"/>
      <c r="M218" s="40"/>
      <c r="N218" s="40"/>
      <c r="O218" s="9"/>
      <c r="P218" s="9"/>
      <c r="Q218" s="9"/>
      <c r="R218" s="9"/>
      <c r="S218" s="9"/>
    </row>
    <row r="219" spans="1:19" ht="12.75">
      <c r="A219" s="40"/>
      <c r="B219" s="40"/>
      <c r="C219" s="40"/>
      <c r="D219" s="43"/>
      <c r="E219" s="43"/>
      <c r="F219" s="43"/>
      <c r="G219" s="40"/>
      <c r="H219" s="40"/>
      <c r="I219" s="40"/>
      <c r="J219" s="43"/>
      <c r="K219" s="40"/>
      <c r="L219" s="40"/>
      <c r="M219" s="40"/>
      <c r="N219" s="40"/>
      <c r="O219" s="9"/>
      <c r="P219" s="9"/>
      <c r="Q219" s="9"/>
      <c r="R219" s="9"/>
      <c r="S219" s="9"/>
    </row>
    <row r="220" spans="1:19" ht="12.75">
      <c r="A220" s="42" t="s">
        <v>94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9"/>
      <c r="P220" s="9"/>
      <c r="Q220" s="9"/>
      <c r="R220" s="9"/>
      <c r="S220" s="9"/>
    </row>
    <row r="221" spans="1:19" ht="12.75">
      <c r="A221" s="40" t="s">
        <v>107</v>
      </c>
      <c r="B221" s="40"/>
      <c r="C221" s="40"/>
      <c r="D221" s="40"/>
      <c r="E221" s="41"/>
      <c r="F221" s="41"/>
      <c r="G221" s="40"/>
      <c r="H221" s="40"/>
      <c r="I221" s="40"/>
      <c r="J221" s="44">
        <v>37.43</v>
      </c>
      <c r="K221" s="42" t="s">
        <v>278</v>
      </c>
      <c r="L221" s="40"/>
      <c r="M221" s="40"/>
      <c r="N221" s="40"/>
      <c r="O221" s="9"/>
      <c r="P221" s="9"/>
      <c r="Q221" s="9"/>
      <c r="R221" s="9"/>
      <c r="S221" s="9"/>
    </row>
    <row r="222" spans="1:19" ht="12.75">
      <c r="A222" s="40" t="s">
        <v>108</v>
      </c>
      <c r="B222" s="40"/>
      <c r="C222" s="40"/>
      <c r="D222" s="40"/>
      <c r="E222" s="40"/>
      <c r="F222" s="40"/>
      <c r="G222" s="40"/>
      <c r="H222" s="40"/>
      <c r="I222" s="40"/>
      <c r="J222" s="44">
        <v>14.6</v>
      </c>
      <c r="K222" s="42" t="s">
        <v>278</v>
      </c>
      <c r="L222" s="40"/>
      <c r="M222" s="40"/>
      <c r="N222" s="40"/>
      <c r="O222" s="9"/>
      <c r="P222" s="9"/>
      <c r="Q222" s="9"/>
      <c r="R222" s="9"/>
      <c r="S222" s="9"/>
    </row>
    <row r="223" spans="1:19" ht="12.75">
      <c r="A223" s="40" t="s">
        <v>109</v>
      </c>
      <c r="B223" s="40"/>
      <c r="C223" s="40"/>
      <c r="D223" s="40"/>
      <c r="E223" s="40"/>
      <c r="F223" s="40"/>
      <c r="G223" s="40"/>
      <c r="H223" s="40"/>
      <c r="I223" s="40"/>
      <c r="J223" s="44">
        <v>17.85</v>
      </c>
      <c r="K223" s="42" t="s">
        <v>278</v>
      </c>
      <c r="L223" s="40"/>
      <c r="M223" s="40"/>
      <c r="N223" s="40"/>
      <c r="O223" s="9"/>
      <c r="P223" s="9"/>
      <c r="Q223" s="9"/>
      <c r="R223" s="9"/>
      <c r="S223" s="9"/>
    </row>
    <row r="224" spans="1:19" ht="12.75">
      <c r="A224" s="40" t="s">
        <v>110</v>
      </c>
      <c r="B224" s="40"/>
      <c r="C224" s="40"/>
      <c r="D224" s="40"/>
      <c r="E224" s="40"/>
      <c r="F224" s="40"/>
      <c r="G224" s="40"/>
      <c r="H224" s="40"/>
      <c r="I224" s="40"/>
      <c r="J224" s="44">
        <v>2</v>
      </c>
      <c r="K224" s="42" t="s">
        <v>309</v>
      </c>
      <c r="L224" s="40"/>
      <c r="M224" s="40"/>
      <c r="N224" s="40"/>
      <c r="O224" s="9"/>
      <c r="P224" s="9"/>
      <c r="Q224" s="9"/>
      <c r="R224" s="9"/>
      <c r="S224" s="9"/>
    </row>
    <row r="225" spans="1:19" ht="12.75">
      <c r="A225" s="40" t="s">
        <v>111</v>
      </c>
      <c r="B225" s="40"/>
      <c r="C225" s="40"/>
      <c r="D225" s="40"/>
      <c r="E225" s="40"/>
      <c r="F225" s="40"/>
      <c r="G225" s="40"/>
      <c r="H225" s="40"/>
      <c r="I225" s="40"/>
      <c r="J225" s="44">
        <v>2</v>
      </c>
      <c r="K225" s="42" t="s">
        <v>309</v>
      </c>
      <c r="L225" s="40"/>
      <c r="M225" s="40"/>
      <c r="N225" s="40"/>
      <c r="O225" s="9"/>
      <c r="P225" s="9"/>
      <c r="Q225" s="9"/>
      <c r="R225" s="9"/>
      <c r="S225" s="9"/>
    </row>
    <row r="226" spans="1:19" ht="12.75">
      <c r="A226" s="40" t="s">
        <v>112</v>
      </c>
      <c r="B226" s="40"/>
      <c r="C226" s="40"/>
      <c r="D226" s="40"/>
      <c r="E226" s="40"/>
      <c r="F226" s="40"/>
      <c r="G226" s="40"/>
      <c r="H226" s="40"/>
      <c r="I226" s="40"/>
      <c r="J226" s="44">
        <v>4</v>
      </c>
      <c r="K226" s="42" t="s">
        <v>309</v>
      </c>
      <c r="L226" s="40"/>
      <c r="M226" s="40"/>
      <c r="N226" s="40"/>
      <c r="O226" s="9"/>
      <c r="P226" s="9"/>
      <c r="Q226" s="9"/>
      <c r="R226" s="9"/>
      <c r="S226" s="9"/>
    </row>
    <row r="227" spans="1:19" ht="12.75">
      <c r="A227" s="40" t="s">
        <v>113</v>
      </c>
      <c r="B227" s="40"/>
      <c r="C227" s="40"/>
      <c r="D227" s="40"/>
      <c r="E227" s="40"/>
      <c r="F227" s="40"/>
      <c r="G227" s="40"/>
      <c r="H227" s="40"/>
      <c r="I227" s="40"/>
      <c r="J227" s="44">
        <v>11</v>
      </c>
      <c r="K227" s="42" t="s">
        <v>309</v>
      </c>
      <c r="L227" s="40"/>
      <c r="M227" s="40"/>
      <c r="N227" s="40"/>
      <c r="O227" s="9"/>
      <c r="P227" s="9"/>
      <c r="Q227" s="9"/>
      <c r="R227" s="9"/>
      <c r="S227" s="9"/>
    </row>
    <row r="228" spans="1:19" ht="12.75">
      <c r="A228" s="40" t="s">
        <v>114</v>
      </c>
      <c r="B228" s="40"/>
      <c r="C228" s="40"/>
      <c r="D228" s="40"/>
      <c r="E228" s="40"/>
      <c r="F228" s="40"/>
      <c r="G228" s="40"/>
      <c r="H228" s="40"/>
      <c r="I228" s="40"/>
      <c r="J228" s="44">
        <v>1</v>
      </c>
      <c r="K228" s="42" t="s">
        <v>309</v>
      </c>
      <c r="L228" s="40"/>
      <c r="M228" s="40"/>
      <c r="N228" s="40"/>
      <c r="O228" s="9"/>
      <c r="P228" s="9"/>
      <c r="Q228" s="9"/>
      <c r="R228" s="9"/>
      <c r="S228" s="9"/>
    </row>
    <row r="229" spans="1:19" ht="8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4"/>
      <c r="K229" s="42"/>
      <c r="L229" s="40"/>
      <c r="M229" s="40"/>
      <c r="N229" s="40"/>
      <c r="O229" s="9"/>
      <c r="P229" s="9"/>
      <c r="Q229" s="9"/>
      <c r="R229" s="9"/>
      <c r="S229" s="9"/>
    </row>
    <row r="230" spans="1:19" ht="12.75">
      <c r="A230" s="40" t="s">
        <v>115</v>
      </c>
      <c r="B230" s="40"/>
      <c r="C230" s="40"/>
      <c r="D230" s="40"/>
      <c r="E230" s="40"/>
      <c r="F230" s="40"/>
      <c r="G230" s="40"/>
      <c r="H230" s="40"/>
      <c r="I230" s="40"/>
      <c r="J230" s="44">
        <v>3</v>
      </c>
      <c r="K230" s="42" t="s">
        <v>309</v>
      </c>
      <c r="L230" s="40"/>
      <c r="M230" s="40"/>
      <c r="N230" s="40"/>
      <c r="O230" s="9"/>
      <c r="P230" s="9"/>
      <c r="Q230" s="9"/>
      <c r="R230" s="9"/>
      <c r="S230" s="9"/>
    </row>
    <row r="231" spans="1:19" ht="12.75">
      <c r="A231" s="40" t="s">
        <v>116</v>
      </c>
      <c r="B231" s="40"/>
      <c r="C231" s="40"/>
      <c r="D231" s="40"/>
      <c r="E231" s="40"/>
      <c r="F231" s="40"/>
      <c r="G231" s="40"/>
      <c r="H231" s="40"/>
      <c r="I231" s="40"/>
      <c r="J231" s="44">
        <v>6</v>
      </c>
      <c r="K231" s="42" t="s">
        <v>309</v>
      </c>
      <c r="L231" s="40"/>
      <c r="M231" s="40"/>
      <c r="N231" s="40"/>
      <c r="O231" s="9"/>
      <c r="P231" s="9"/>
      <c r="Q231" s="9"/>
      <c r="R231" s="9"/>
      <c r="S231" s="9"/>
    </row>
    <row r="232" spans="1:19" ht="12.75">
      <c r="A232" s="40" t="s">
        <v>117</v>
      </c>
      <c r="B232" s="40"/>
      <c r="C232" s="40"/>
      <c r="D232" s="40"/>
      <c r="E232" s="40"/>
      <c r="F232" s="40"/>
      <c r="G232" s="40"/>
      <c r="H232" s="40"/>
      <c r="I232" s="40"/>
      <c r="J232" s="44">
        <v>30</v>
      </c>
      <c r="K232" s="42" t="s">
        <v>309</v>
      </c>
      <c r="L232" s="40"/>
      <c r="M232" s="40"/>
      <c r="N232" s="40"/>
      <c r="O232" s="9"/>
      <c r="P232" s="9"/>
      <c r="Q232" s="9"/>
      <c r="R232" s="9"/>
      <c r="S232" s="9"/>
    </row>
    <row r="233" spans="1:19" ht="12.75">
      <c r="A233" s="40" t="s">
        <v>647</v>
      </c>
      <c r="B233" s="40"/>
      <c r="C233" s="40"/>
      <c r="D233" s="40"/>
      <c r="E233" s="40"/>
      <c r="F233" s="40"/>
      <c r="G233" s="40"/>
      <c r="H233" s="40"/>
      <c r="I233" s="40"/>
      <c r="J233" s="44">
        <v>3</v>
      </c>
      <c r="K233" s="42" t="s">
        <v>309</v>
      </c>
      <c r="L233" s="40"/>
      <c r="M233" s="40"/>
      <c r="N233" s="40"/>
      <c r="O233" s="9"/>
      <c r="P233" s="9"/>
      <c r="Q233" s="9"/>
      <c r="R233" s="9"/>
      <c r="S233" s="9"/>
    </row>
    <row r="234" spans="1:19" ht="12.75">
      <c r="A234" s="40" t="s">
        <v>118</v>
      </c>
      <c r="B234" s="40"/>
      <c r="C234" s="40"/>
      <c r="D234" s="40"/>
      <c r="E234" s="40"/>
      <c r="F234" s="40"/>
      <c r="G234" s="40"/>
      <c r="H234" s="40"/>
      <c r="I234" s="40"/>
      <c r="J234" s="44">
        <v>5</v>
      </c>
      <c r="K234" s="42" t="s">
        <v>309</v>
      </c>
      <c r="L234" s="40"/>
      <c r="M234" s="40"/>
      <c r="N234" s="40"/>
      <c r="O234" s="9"/>
      <c r="P234" s="9"/>
      <c r="Q234" s="9"/>
      <c r="R234" s="9"/>
      <c r="S234" s="9"/>
    </row>
    <row r="235" spans="1:19" ht="12.75">
      <c r="A235" s="40" t="s">
        <v>650</v>
      </c>
      <c r="B235" s="40"/>
      <c r="C235" s="40"/>
      <c r="D235" s="40"/>
      <c r="E235" s="40"/>
      <c r="F235" s="40"/>
      <c r="G235" s="40"/>
      <c r="H235" s="40"/>
      <c r="I235" s="40"/>
      <c r="J235" s="44">
        <v>4</v>
      </c>
      <c r="K235" s="42" t="s">
        <v>309</v>
      </c>
      <c r="L235" s="40"/>
      <c r="M235" s="40"/>
      <c r="N235" s="40"/>
      <c r="O235" s="9"/>
      <c r="P235" s="9"/>
      <c r="Q235" s="9"/>
      <c r="R235" s="9"/>
      <c r="S235" s="9"/>
    </row>
    <row r="236" spans="1:19" ht="12.75">
      <c r="A236" s="40"/>
      <c r="B236" s="40"/>
      <c r="C236" s="40"/>
      <c r="D236" s="40"/>
      <c r="E236" s="40"/>
      <c r="F236" s="40"/>
      <c r="G236" s="40"/>
      <c r="H236" s="40"/>
      <c r="I236" s="40"/>
      <c r="J236" s="43"/>
      <c r="K236" s="40"/>
      <c r="L236" s="40"/>
      <c r="M236" s="40"/>
      <c r="N236" s="40"/>
      <c r="O236" s="9"/>
      <c r="P236" s="9"/>
      <c r="Q236" s="9"/>
      <c r="R236" s="9"/>
      <c r="S236" s="9"/>
    </row>
    <row r="237" spans="1:19" ht="12.75">
      <c r="A237" s="42" t="s">
        <v>95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9"/>
      <c r="P237" s="9"/>
      <c r="Q237" s="9"/>
      <c r="R237" s="9"/>
      <c r="S237" s="9"/>
    </row>
    <row r="238" spans="1:19" ht="12.75">
      <c r="A238" s="40" t="s">
        <v>168</v>
      </c>
      <c r="B238" s="40"/>
      <c r="C238" s="40"/>
      <c r="D238" s="40"/>
      <c r="E238" s="40"/>
      <c r="F238" s="40"/>
      <c r="G238" s="40"/>
      <c r="H238" s="40"/>
      <c r="I238" s="40"/>
      <c r="J238" s="44">
        <v>99.7</v>
      </c>
      <c r="K238" s="42" t="s">
        <v>278</v>
      </c>
      <c r="L238" s="40"/>
      <c r="M238" s="40"/>
      <c r="N238" s="40"/>
      <c r="O238" s="9"/>
      <c r="P238" s="9"/>
      <c r="Q238" s="9"/>
      <c r="R238" s="9"/>
      <c r="S238" s="9"/>
    </row>
    <row r="239" spans="1:19" ht="12.75">
      <c r="A239" s="40" t="s">
        <v>651</v>
      </c>
      <c r="B239" s="40"/>
      <c r="C239" s="40"/>
      <c r="D239" s="40"/>
      <c r="E239" s="40"/>
      <c r="F239" s="40"/>
      <c r="G239" s="40"/>
      <c r="H239" s="40"/>
      <c r="I239" s="40"/>
      <c r="J239" s="44">
        <v>78.25</v>
      </c>
      <c r="K239" s="42" t="s">
        <v>278</v>
      </c>
      <c r="L239" s="40"/>
      <c r="M239" s="40"/>
      <c r="N239" s="40"/>
      <c r="O239" s="9"/>
      <c r="P239" s="9"/>
      <c r="Q239" s="9"/>
      <c r="R239" s="9"/>
      <c r="S239" s="9"/>
    </row>
    <row r="240" spans="1:19" ht="12.75">
      <c r="A240" s="40" t="s">
        <v>169</v>
      </c>
      <c r="B240" s="40"/>
      <c r="C240" s="40"/>
      <c r="D240" s="40"/>
      <c r="E240" s="40"/>
      <c r="F240" s="40"/>
      <c r="G240" s="40"/>
      <c r="H240" s="40"/>
      <c r="I240" s="40"/>
      <c r="J240" s="44">
        <v>6</v>
      </c>
      <c r="K240" s="42" t="s">
        <v>309</v>
      </c>
      <c r="L240" s="40"/>
      <c r="M240" s="40"/>
      <c r="N240" s="40"/>
      <c r="O240" s="9"/>
      <c r="P240" s="9"/>
      <c r="Q240" s="9"/>
      <c r="R240" s="9"/>
      <c r="S240" s="9"/>
    </row>
    <row r="241" spans="1:19" ht="12.75">
      <c r="A241" s="40" t="s">
        <v>653</v>
      </c>
      <c r="B241" s="40"/>
      <c r="C241" s="40"/>
      <c r="D241" s="40"/>
      <c r="E241" s="40"/>
      <c r="F241" s="40"/>
      <c r="G241" s="40"/>
      <c r="H241" s="40"/>
      <c r="I241" s="40"/>
      <c r="J241" s="44">
        <v>13</v>
      </c>
      <c r="K241" s="42" t="s">
        <v>309</v>
      </c>
      <c r="L241" s="40"/>
      <c r="M241" s="40"/>
      <c r="N241" s="40"/>
      <c r="O241" s="9"/>
      <c r="P241" s="9"/>
      <c r="Q241" s="9"/>
      <c r="R241" s="9"/>
      <c r="S241" s="9"/>
    </row>
    <row r="242" spans="1:19" ht="12.75">
      <c r="A242" s="40" t="s">
        <v>171</v>
      </c>
      <c r="B242" s="40"/>
      <c r="C242" s="40"/>
      <c r="D242" s="40"/>
      <c r="E242" s="40"/>
      <c r="F242" s="40"/>
      <c r="G242" s="40"/>
      <c r="H242" s="40"/>
      <c r="I242" s="40"/>
      <c r="J242" s="44">
        <v>5</v>
      </c>
      <c r="K242" s="42" t="s">
        <v>309</v>
      </c>
      <c r="L242" s="128"/>
      <c r="M242" s="40"/>
      <c r="N242" s="40"/>
      <c r="O242" s="9"/>
      <c r="P242" s="9"/>
      <c r="Q242" s="9"/>
      <c r="R242" s="9"/>
      <c r="S242" s="9"/>
    </row>
    <row r="243" spans="1:19" ht="12.75">
      <c r="A243" s="40" t="s">
        <v>655</v>
      </c>
      <c r="B243" s="40"/>
      <c r="C243" s="40"/>
      <c r="D243" s="40"/>
      <c r="E243" s="40"/>
      <c r="F243" s="40"/>
      <c r="G243" s="40"/>
      <c r="H243" s="40"/>
      <c r="I243" s="40"/>
      <c r="J243" s="44">
        <v>3</v>
      </c>
      <c r="K243" s="42" t="s">
        <v>309</v>
      </c>
      <c r="L243" s="128"/>
      <c r="M243" s="40"/>
      <c r="N243" s="40"/>
      <c r="O243" s="9"/>
      <c r="P243" s="9"/>
      <c r="Q243" s="9"/>
      <c r="R243" s="9"/>
      <c r="S243" s="9"/>
    </row>
    <row r="244" spans="1:19" ht="12.75">
      <c r="A244" s="40" t="s">
        <v>172</v>
      </c>
      <c r="B244" s="40"/>
      <c r="C244" s="40"/>
      <c r="D244" s="40"/>
      <c r="E244" s="40"/>
      <c r="F244" s="40"/>
      <c r="G244" s="40"/>
      <c r="H244" s="40"/>
      <c r="I244" s="40"/>
      <c r="J244" s="44">
        <v>22</v>
      </c>
      <c r="K244" s="42" t="s">
        <v>309</v>
      </c>
      <c r="L244" s="128"/>
      <c r="M244" s="40"/>
      <c r="N244" s="40"/>
      <c r="O244" s="9"/>
      <c r="P244" s="9"/>
      <c r="Q244" s="9"/>
      <c r="R244" s="9"/>
      <c r="S244" s="9"/>
    </row>
    <row r="245" spans="1:19" ht="12.75">
      <c r="A245" s="40" t="s">
        <v>654</v>
      </c>
      <c r="B245" s="40"/>
      <c r="C245" s="40"/>
      <c r="D245" s="40"/>
      <c r="E245" s="40"/>
      <c r="F245" s="40"/>
      <c r="G245" s="40"/>
      <c r="H245" s="40"/>
      <c r="I245" s="40"/>
      <c r="J245" s="44">
        <v>23</v>
      </c>
      <c r="K245" s="42" t="s">
        <v>309</v>
      </c>
      <c r="L245" s="128"/>
      <c r="M245" s="40"/>
      <c r="N245" s="40"/>
      <c r="O245" s="9"/>
      <c r="P245" s="9"/>
      <c r="Q245" s="9"/>
      <c r="R245" s="9"/>
      <c r="S245" s="9"/>
    </row>
    <row r="246" spans="1:19" ht="12.75">
      <c r="A246" s="40" t="s">
        <v>173</v>
      </c>
      <c r="B246" s="40"/>
      <c r="C246" s="40"/>
      <c r="D246" s="40"/>
      <c r="E246" s="40"/>
      <c r="F246" s="40"/>
      <c r="G246" s="40"/>
      <c r="H246" s="40"/>
      <c r="I246" s="40"/>
      <c r="J246" s="44">
        <v>8</v>
      </c>
      <c r="K246" s="42" t="s">
        <v>309</v>
      </c>
      <c r="L246" s="128"/>
      <c r="M246" s="40"/>
      <c r="N246" s="40"/>
      <c r="O246" s="9"/>
      <c r="P246" s="9"/>
      <c r="Q246" s="9"/>
      <c r="R246" s="9"/>
      <c r="S246" s="9"/>
    </row>
    <row r="247" spans="1:19" ht="12.75">
      <c r="A247" s="40" t="s">
        <v>658</v>
      </c>
      <c r="B247" s="40"/>
      <c r="C247" s="40"/>
      <c r="D247" s="40"/>
      <c r="E247" s="40"/>
      <c r="F247" s="40"/>
      <c r="G247" s="40"/>
      <c r="H247" s="40"/>
      <c r="I247" s="40"/>
      <c r="J247" s="44">
        <v>2</v>
      </c>
      <c r="K247" s="42" t="s">
        <v>309</v>
      </c>
      <c r="L247" s="128"/>
      <c r="M247" s="40"/>
      <c r="N247" s="40"/>
      <c r="O247" s="9"/>
      <c r="P247" s="9"/>
      <c r="Q247" s="9"/>
      <c r="R247" s="9"/>
      <c r="S247" s="9"/>
    </row>
    <row r="248" spans="1:19" ht="12.75">
      <c r="A248" s="40" t="s">
        <v>657</v>
      </c>
      <c r="B248" s="40"/>
      <c r="C248" s="40"/>
      <c r="D248" s="40"/>
      <c r="E248" s="40"/>
      <c r="F248" s="40"/>
      <c r="G248" s="40"/>
      <c r="H248" s="40"/>
      <c r="I248" s="40"/>
      <c r="J248" s="44">
        <v>1</v>
      </c>
      <c r="K248" s="42" t="s">
        <v>309</v>
      </c>
      <c r="L248" s="128"/>
      <c r="M248" s="40"/>
      <c r="N248" s="40"/>
      <c r="O248" s="9"/>
      <c r="P248" s="9"/>
      <c r="Q248" s="9"/>
      <c r="R248" s="9"/>
      <c r="S248" s="9"/>
    </row>
    <row r="249" spans="1:19" ht="12.75">
      <c r="A249" s="40" t="s">
        <v>656</v>
      </c>
      <c r="B249" s="40"/>
      <c r="C249" s="40"/>
      <c r="D249" s="40"/>
      <c r="E249" s="40"/>
      <c r="F249" s="40"/>
      <c r="G249" s="40"/>
      <c r="H249" s="40"/>
      <c r="I249" s="40"/>
      <c r="J249" s="44">
        <v>4</v>
      </c>
      <c r="K249" s="42" t="s">
        <v>309</v>
      </c>
      <c r="L249" s="128"/>
      <c r="M249" s="40"/>
      <c r="N249" s="40"/>
      <c r="O249" s="9"/>
      <c r="P249" s="9"/>
      <c r="Q249" s="9"/>
      <c r="R249" s="9"/>
      <c r="S249" s="9"/>
    </row>
    <row r="250" spans="1:19" ht="12.75">
      <c r="A250" s="40" t="s">
        <v>659</v>
      </c>
      <c r="B250" s="40"/>
      <c r="C250" s="40"/>
      <c r="D250" s="40"/>
      <c r="E250" s="40"/>
      <c r="F250" s="40"/>
      <c r="G250" s="40"/>
      <c r="H250" s="40"/>
      <c r="I250" s="40"/>
      <c r="J250" s="33">
        <v>1</v>
      </c>
      <c r="K250" s="32" t="s">
        <v>309</v>
      </c>
      <c r="L250" s="128"/>
      <c r="M250" s="40"/>
      <c r="N250" s="40"/>
      <c r="O250" s="9"/>
      <c r="P250" s="9"/>
      <c r="Q250" s="9"/>
      <c r="R250" s="9"/>
      <c r="S250" s="9"/>
    </row>
    <row r="251" spans="1:19" ht="12.75">
      <c r="A251" s="40" t="s">
        <v>660</v>
      </c>
      <c r="B251" s="40"/>
      <c r="C251" s="40"/>
      <c r="D251" s="40"/>
      <c r="E251" s="40"/>
      <c r="F251" s="40"/>
      <c r="G251" s="40"/>
      <c r="H251" s="40"/>
      <c r="I251" s="40"/>
      <c r="J251" s="33">
        <v>3</v>
      </c>
      <c r="K251" s="32" t="s">
        <v>309</v>
      </c>
      <c r="L251" s="128"/>
      <c r="M251" s="40"/>
      <c r="N251" s="40"/>
      <c r="O251" s="9"/>
      <c r="P251" s="9"/>
      <c r="Q251" s="9"/>
      <c r="R251" s="9"/>
      <c r="S251" s="9"/>
    </row>
    <row r="252" spans="1:19" ht="12.75">
      <c r="A252" s="40" t="s">
        <v>661</v>
      </c>
      <c r="B252" s="40"/>
      <c r="C252" s="40"/>
      <c r="D252" s="40"/>
      <c r="E252" s="40"/>
      <c r="F252" s="40"/>
      <c r="G252" s="40"/>
      <c r="H252" s="40"/>
      <c r="I252" s="40"/>
      <c r="J252" s="33">
        <v>1</v>
      </c>
      <c r="K252" s="32" t="s">
        <v>309</v>
      </c>
      <c r="L252" s="128"/>
      <c r="M252" s="40"/>
      <c r="N252" s="40"/>
      <c r="O252" s="9"/>
      <c r="P252" s="9"/>
      <c r="Q252" s="9"/>
      <c r="R252" s="9"/>
      <c r="S252" s="9"/>
    </row>
    <row r="253" spans="1:19" ht="12.75">
      <c r="A253" s="40"/>
      <c r="B253" s="40"/>
      <c r="C253" s="40"/>
      <c r="D253" s="40"/>
      <c r="E253" s="40"/>
      <c r="F253" s="40"/>
      <c r="G253" s="40"/>
      <c r="H253" s="40"/>
      <c r="I253" s="40"/>
      <c r="J253" s="43"/>
      <c r="K253" s="128"/>
      <c r="L253" s="128"/>
      <c r="M253" s="40"/>
      <c r="N253" s="40"/>
      <c r="O253" s="9"/>
      <c r="P253" s="9"/>
      <c r="Q253" s="9"/>
      <c r="R253" s="9"/>
      <c r="S253" s="9"/>
    </row>
    <row r="254" spans="1:19" ht="12.75">
      <c r="A254" s="40"/>
      <c r="B254" s="40"/>
      <c r="C254" s="40"/>
      <c r="D254" s="40"/>
      <c r="E254" s="40"/>
      <c r="F254" s="40"/>
      <c r="G254" s="40"/>
      <c r="H254" s="40"/>
      <c r="I254" s="40"/>
      <c r="J254" s="43"/>
      <c r="K254" s="128"/>
      <c r="L254" s="128"/>
      <c r="M254" s="40"/>
      <c r="N254" s="40"/>
      <c r="O254" s="9"/>
      <c r="P254" s="9"/>
      <c r="Q254" s="9"/>
      <c r="R254" s="9"/>
      <c r="S254" s="9"/>
    </row>
    <row r="255" spans="1:19" ht="12.75">
      <c r="A255" s="42" t="s">
        <v>590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9"/>
      <c r="P255" s="9"/>
      <c r="Q255" s="9"/>
      <c r="R255" s="9"/>
      <c r="S255" s="9"/>
    </row>
    <row r="256" spans="1:19" ht="12.75">
      <c r="A256" s="40" t="s">
        <v>181</v>
      </c>
      <c r="B256" s="40"/>
      <c r="C256" s="43">
        <v>13.2</v>
      </c>
      <c r="D256" s="43" t="s">
        <v>276</v>
      </c>
      <c r="E256" s="43"/>
      <c r="F256" s="43"/>
      <c r="G256" s="43"/>
      <c r="H256" s="43"/>
      <c r="I256" s="43"/>
      <c r="J256" s="43"/>
      <c r="K256" s="43"/>
      <c r="L256" s="40"/>
      <c r="M256" s="40"/>
      <c r="N256" s="40"/>
      <c r="O256" s="9"/>
      <c r="P256" s="9"/>
      <c r="Q256" s="9"/>
      <c r="R256" s="9"/>
      <c r="S256" s="9"/>
    </row>
    <row r="257" spans="1:19" ht="12.75">
      <c r="A257" s="40" t="s">
        <v>182</v>
      </c>
      <c r="B257" s="40"/>
      <c r="C257" s="43">
        <v>13.2</v>
      </c>
      <c r="D257" s="43" t="s">
        <v>276</v>
      </c>
      <c r="E257" s="82"/>
      <c r="F257" s="82"/>
      <c r="G257" s="43"/>
      <c r="H257" s="43"/>
      <c r="I257" s="43"/>
      <c r="J257" s="43"/>
      <c r="K257" s="43"/>
      <c r="L257" s="40"/>
      <c r="M257" s="40"/>
      <c r="N257" s="40"/>
      <c r="O257" s="9"/>
      <c r="P257" s="9"/>
      <c r="Q257" s="9"/>
      <c r="R257" s="9"/>
      <c r="S257" s="9"/>
    </row>
    <row r="258" spans="1:19" ht="12.75">
      <c r="A258" s="40" t="s">
        <v>183</v>
      </c>
      <c r="B258" s="40"/>
      <c r="C258" s="43">
        <v>19.34</v>
      </c>
      <c r="D258" s="43" t="s">
        <v>276</v>
      </c>
      <c r="E258" s="43"/>
      <c r="F258" s="43"/>
      <c r="G258" s="43"/>
      <c r="H258" s="43"/>
      <c r="I258" s="43"/>
      <c r="J258" s="43"/>
      <c r="K258" s="43"/>
      <c r="L258" s="40"/>
      <c r="M258" s="40"/>
      <c r="N258" s="40"/>
      <c r="O258" s="9"/>
      <c r="P258" s="9"/>
      <c r="Q258" s="9"/>
      <c r="R258" s="9"/>
      <c r="S258" s="9"/>
    </row>
    <row r="259" spans="1:19" ht="12.75">
      <c r="A259" s="40" t="s">
        <v>184</v>
      </c>
      <c r="B259" s="40"/>
      <c r="C259" s="43">
        <v>10.28</v>
      </c>
      <c r="D259" s="43" t="s">
        <v>276</v>
      </c>
      <c r="E259" s="43"/>
      <c r="F259" s="43"/>
      <c r="G259" s="43"/>
      <c r="H259" s="43"/>
      <c r="I259" s="43"/>
      <c r="J259" s="44">
        <f>C256+C257+C258+C259</f>
        <v>56.019999999999996</v>
      </c>
      <c r="K259" s="44" t="s">
        <v>276</v>
      </c>
      <c r="L259" s="40"/>
      <c r="M259" s="40"/>
      <c r="N259" s="40"/>
      <c r="O259" s="9"/>
      <c r="P259" s="9"/>
      <c r="Q259" s="9"/>
      <c r="R259" s="9"/>
      <c r="S259" s="9"/>
    </row>
    <row r="260" spans="1:19" ht="12.75">
      <c r="A260" s="40"/>
      <c r="B260" s="40"/>
      <c r="C260" s="43"/>
      <c r="D260" s="43"/>
      <c r="E260" s="43"/>
      <c r="F260" s="43"/>
      <c r="G260" s="43"/>
      <c r="H260" s="43"/>
      <c r="I260" s="43"/>
      <c r="J260" s="43"/>
      <c r="K260" s="43"/>
      <c r="L260" s="40"/>
      <c r="M260" s="40"/>
      <c r="N260" s="40"/>
      <c r="O260" s="9"/>
      <c r="P260" s="9"/>
      <c r="Q260" s="9"/>
      <c r="R260" s="9"/>
      <c r="S260" s="9"/>
    </row>
    <row r="261" spans="1:19" ht="12.75">
      <c r="A261" s="42" t="s">
        <v>96</v>
      </c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9"/>
      <c r="P261" s="9"/>
      <c r="Q261" s="9"/>
      <c r="R261" s="9"/>
      <c r="S261" s="9"/>
    </row>
    <row r="262" spans="1:19" ht="12.75">
      <c r="A262" s="40" t="s">
        <v>598</v>
      </c>
      <c r="B262" s="43"/>
      <c r="C262" s="43"/>
      <c r="D262" s="43">
        <v>2.41</v>
      </c>
      <c r="E262" s="43" t="s">
        <v>278</v>
      </c>
      <c r="F262" s="71"/>
      <c r="G262" s="43"/>
      <c r="H262" s="43"/>
      <c r="I262" s="43"/>
      <c r="J262" s="43"/>
      <c r="K262" s="43"/>
      <c r="L262" s="43"/>
      <c r="M262" s="40"/>
      <c r="N262" s="40"/>
      <c r="O262" s="9"/>
      <c r="P262" s="9"/>
      <c r="Q262" s="9"/>
      <c r="R262" s="9"/>
      <c r="S262" s="9"/>
    </row>
    <row r="263" spans="1:19" ht="12.75">
      <c r="A263" s="40" t="s">
        <v>599</v>
      </c>
      <c r="B263" s="43"/>
      <c r="C263" s="43"/>
      <c r="D263" s="43">
        <v>2.6</v>
      </c>
      <c r="E263" s="99" t="s">
        <v>278</v>
      </c>
      <c r="F263" s="82"/>
      <c r="G263" s="43"/>
      <c r="H263" s="43"/>
      <c r="I263" s="43"/>
      <c r="J263" s="43"/>
      <c r="K263" s="43"/>
      <c r="L263" s="43"/>
      <c r="M263" s="40"/>
      <c r="N263" s="40"/>
      <c r="O263" s="9"/>
      <c r="P263" s="9"/>
      <c r="Q263" s="9"/>
      <c r="R263" s="9"/>
      <c r="S263" s="9"/>
    </row>
    <row r="264" spans="1:19" ht="12.75">
      <c r="A264" s="40" t="s">
        <v>600</v>
      </c>
      <c r="B264" s="43"/>
      <c r="C264" s="43"/>
      <c r="D264" s="43"/>
      <c r="E264" s="43"/>
      <c r="F264" s="43"/>
      <c r="G264" s="43"/>
      <c r="H264" s="43"/>
      <c r="I264" s="43"/>
      <c r="J264" s="44">
        <f>D262*D263</f>
        <v>6.266000000000001</v>
      </c>
      <c r="K264" s="44" t="s">
        <v>276</v>
      </c>
      <c r="L264" s="43"/>
      <c r="M264" s="40"/>
      <c r="N264" s="40"/>
      <c r="O264" s="9"/>
      <c r="P264" s="9"/>
      <c r="Q264" s="9"/>
      <c r="R264" s="9"/>
      <c r="S264" s="9"/>
    </row>
    <row r="265" spans="1:19" ht="12.75">
      <c r="A265" s="9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40"/>
      <c r="N265" s="40"/>
      <c r="O265" s="9"/>
      <c r="P265" s="9"/>
      <c r="Q265" s="9"/>
      <c r="R265" s="9"/>
      <c r="S265" s="9"/>
    </row>
    <row r="266" spans="1:19" ht="12.75">
      <c r="A266" s="557" t="s">
        <v>601</v>
      </c>
      <c r="B266" s="557"/>
      <c r="C266" s="557"/>
      <c r="D266" s="32"/>
      <c r="E266" s="32"/>
      <c r="F266" s="32"/>
      <c r="G266" s="32"/>
      <c r="H266" s="32"/>
      <c r="I266" s="32"/>
      <c r="J266" s="32"/>
      <c r="K266" s="32"/>
      <c r="L266" s="32"/>
      <c r="M266" s="42"/>
      <c r="N266" s="42"/>
      <c r="O266" s="9"/>
      <c r="P266" s="9"/>
      <c r="Q266" s="9"/>
      <c r="R266" s="9"/>
      <c r="S266" s="9"/>
    </row>
    <row r="267" spans="1:19" ht="6.75" customHeight="1">
      <c r="A267" s="137"/>
      <c r="B267" s="137"/>
      <c r="C267" s="138"/>
      <c r="D267" s="9"/>
      <c r="E267" s="32"/>
      <c r="F267" s="32"/>
      <c r="G267" s="32"/>
      <c r="H267" s="32"/>
      <c r="I267" s="32"/>
      <c r="J267" s="32"/>
      <c r="K267" s="32"/>
      <c r="L267" s="32"/>
      <c r="M267" s="42"/>
      <c r="N267" s="42"/>
      <c r="O267" s="9"/>
      <c r="P267" s="9"/>
      <c r="Q267" s="9"/>
      <c r="R267" s="9"/>
      <c r="S267" s="9"/>
    </row>
    <row r="268" spans="1:19" ht="12.75">
      <c r="A268" s="139" t="s">
        <v>613</v>
      </c>
      <c r="B268" s="140"/>
      <c r="C268" s="141"/>
      <c r="D268" s="142"/>
      <c r="E268" s="143"/>
      <c r="F268" s="143"/>
      <c r="G268" s="143"/>
      <c r="H268" s="143"/>
      <c r="I268" s="143"/>
      <c r="J268" s="144">
        <f>E273+E278+E283+E288</f>
        <v>32.71</v>
      </c>
      <c r="K268" s="143" t="s">
        <v>278</v>
      </c>
      <c r="L268" s="32"/>
      <c r="M268" s="42"/>
      <c r="N268" s="42"/>
      <c r="O268" s="9"/>
      <c r="P268" s="9"/>
      <c r="Q268" s="9"/>
      <c r="R268" s="9"/>
      <c r="S268" s="9"/>
    </row>
    <row r="269" spans="1:19" ht="6" customHeight="1">
      <c r="A269" s="136"/>
      <c r="B269" s="137"/>
      <c r="C269" s="138"/>
      <c r="D269" s="9"/>
      <c r="E269" s="32"/>
      <c r="F269" s="32"/>
      <c r="G269" s="32"/>
      <c r="H269" s="32"/>
      <c r="I269" s="32"/>
      <c r="J269" s="32"/>
      <c r="K269" s="32"/>
      <c r="L269" s="32"/>
      <c r="M269" s="42"/>
      <c r="N269" s="42"/>
      <c r="O269" s="9"/>
      <c r="P269" s="9"/>
      <c r="Q269" s="9"/>
      <c r="R269" s="9"/>
      <c r="S269" s="9"/>
    </row>
    <row r="270" spans="1:19" ht="12.75">
      <c r="A270" s="137" t="s">
        <v>615</v>
      </c>
      <c r="B270" s="137"/>
      <c r="C270" s="138">
        <v>5.77</v>
      </c>
      <c r="D270" s="9" t="s">
        <v>278</v>
      </c>
      <c r="E270" s="32"/>
      <c r="F270" s="32"/>
      <c r="G270" s="32"/>
      <c r="H270" s="32"/>
      <c r="I270" s="32"/>
      <c r="J270" s="32"/>
      <c r="K270" s="32"/>
      <c r="L270" s="32"/>
      <c r="M270" s="42"/>
      <c r="N270" s="42"/>
      <c r="O270" s="9"/>
      <c r="P270" s="9"/>
      <c r="Q270" s="9"/>
      <c r="R270" s="9"/>
      <c r="S270" s="9"/>
    </row>
    <row r="271" spans="1:19" ht="12.75">
      <c r="A271" s="137"/>
      <c r="B271" s="137"/>
      <c r="C271" s="138">
        <v>0.2</v>
      </c>
      <c r="D271" s="9" t="s">
        <v>278</v>
      </c>
      <c r="E271" s="32"/>
      <c r="F271" s="32"/>
      <c r="G271" s="32"/>
      <c r="H271" s="32"/>
      <c r="I271" s="32"/>
      <c r="J271" s="32"/>
      <c r="K271" s="32"/>
      <c r="L271" s="32"/>
      <c r="M271" s="42"/>
      <c r="N271" s="42"/>
      <c r="O271" s="9"/>
      <c r="P271" s="9"/>
      <c r="Q271" s="9"/>
      <c r="R271" s="9"/>
      <c r="S271" s="9"/>
    </row>
    <row r="272" spans="1:19" ht="12.75">
      <c r="A272" s="137"/>
      <c r="B272" s="137"/>
      <c r="C272" s="138">
        <v>0.3</v>
      </c>
      <c r="D272" s="9" t="s">
        <v>278</v>
      </c>
      <c r="E272" s="31"/>
      <c r="F272" s="9"/>
      <c r="G272" s="32"/>
      <c r="H272" s="32"/>
      <c r="I272" s="32"/>
      <c r="J272" s="32"/>
      <c r="K272" s="32"/>
      <c r="L272" s="32"/>
      <c r="M272" s="42"/>
      <c r="N272" s="42"/>
      <c r="O272" s="9"/>
      <c r="P272" s="9"/>
      <c r="Q272" s="9"/>
      <c r="R272" s="9"/>
      <c r="S272" s="9"/>
    </row>
    <row r="273" spans="1:19" ht="12.75">
      <c r="A273" s="137"/>
      <c r="B273" s="137"/>
      <c r="C273" s="138">
        <v>1</v>
      </c>
      <c r="D273" s="9" t="s">
        <v>255</v>
      </c>
      <c r="E273" s="31">
        <f>C270*C273</f>
        <v>5.77</v>
      </c>
      <c r="F273" s="9" t="s">
        <v>278</v>
      </c>
      <c r="G273" s="32"/>
      <c r="H273" s="32"/>
      <c r="I273" s="32"/>
      <c r="J273" s="32"/>
      <c r="K273" s="32"/>
      <c r="L273" s="32"/>
      <c r="M273" s="42"/>
      <c r="N273" s="42"/>
      <c r="O273" s="9"/>
      <c r="P273" s="9"/>
      <c r="Q273" s="9"/>
      <c r="R273" s="9"/>
      <c r="S273" s="9"/>
    </row>
    <row r="274" spans="1:19" ht="12.75">
      <c r="A274" s="137"/>
      <c r="B274" s="137"/>
      <c r="C274" s="138"/>
      <c r="D274" s="9"/>
      <c r="E274" s="33"/>
      <c r="F274" s="32"/>
      <c r="G274" s="32"/>
      <c r="H274" s="32"/>
      <c r="I274" s="32"/>
      <c r="J274" s="32"/>
      <c r="K274" s="32"/>
      <c r="L274" s="32"/>
      <c r="M274" s="42"/>
      <c r="N274" s="42"/>
      <c r="O274" s="9"/>
      <c r="P274" s="9"/>
      <c r="Q274" s="9"/>
      <c r="R274" s="9"/>
      <c r="S274" s="9"/>
    </row>
    <row r="275" spans="1:19" ht="12.75">
      <c r="A275" s="137" t="s">
        <v>615</v>
      </c>
      <c r="B275" s="137"/>
      <c r="C275" s="138">
        <v>2.2</v>
      </c>
      <c r="D275" s="9" t="s">
        <v>278</v>
      </c>
      <c r="E275" s="33"/>
      <c r="F275" s="32"/>
      <c r="G275" s="32"/>
      <c r="H275" s="32"/>
      <c r="I275" s="32"/>
      <c r="J275" s="32"/>
      <c r="K275" s="32"/>
      <c r="L275" s="32"/>
      <c r="M275" s="42"/>
      <c r="N275" s="42"/>
      <c r="O275" s="9"/>
      <c r="P275" s="9"/>
      <c r="Q275" s="9"/>
      <c r="R275" s="9"/>
      <c r="S275" s="9"/>
    </row>
    <row r="276" spans="1:19" ht="12.75">
      <c r="A276" s="137"/>
      <c r="B276" s="137"/>
      <c r="C276" s="138">
        <v>0.2</v>
      </c>
      <c r="D276" s="9" t="s">
        <v>278</v>
      </c>
      <c r="E276" s="33"/>
      <c r="F276" s="32"/>
      <c r="G276" s="32"/>
      <c r="H276" s="32"/>
      <c r="I276" s="32"/>
      <c r="J276" s="32"/>
      <c r="K276" s="32"/>
      <c r="L276" s="32"/>
      <c r="M276" s="42"/>
      <c r="N276" s="42"/>
      <c r="O276" s="9"/>
      <c r="P276" s="9"/>
      <c r="Q276" s="9"/>
      <c r="R276" s="9"/>
      <c r="S276" s="9"/>
    </row>
    <row r="277" spans="1:19" ht="12.75">
      <c r="A277" s="137"/>
      <c r="B277" s="137"/>
      <c r="C277" s="138">
        <v>0.3</v>
      </c>
      <c r="D277" s="9" t="s">
        <v>278</v>
      </c>
      <c r="E277" s="31"/>
      <c r="F277" s="9"/>
      <c r="G277" s="32"/>
      <c r="H277" s="32"/>
      <c r="I277" s="32"/>
      <c r="J277" s="32"/>
      <c r="K277" s="32"/>
      <c r="L277" s="32"/>
      <c r="M277" s="42"/>
      <c r="N277" s="42"/>
      <c r="O277" s="9"/>
      <c r="P277" s="9"/>
      <c r="Q277" s="9"/>
      <c r="R277" s="9"/>
      <c r="S277" s="9"/>
    </row>
    <row r="278" spans="1:19" ht="12.75">
      <c r="A278" s="137"/>
      <c r="B278" s="137"/>
      <c r="C278" s="138">
        <v>1</v>
      </c>
      <c r="D278" s="9" t="s">
        <v>255</v>
      </c>
      <c r="E278" s="31">
        <f>C275*C278</f>
        <v>2.2</v>
      </c>
      <c r="F278" s="9" t="s">
        <v>278</v>
      </c>
      <c r="G278" s="32"/>
      <c r="H278" s="32"/>
      <c r="I278" s="32"/>
      <c r="J278" s="32"/>
      <c r="K278" s="32"/>
      <c r="L278" s="32"/>
      <c r="M278" s="42"/>
      <c r="N278" s="42"/>
      <c r="O278" s="9"/>
      <c r="P278" s="9"/>
      <c r="Q278" s="9"/>
      <c r="R278" s="9"/>
      <c r="S278" s="9"/>
    </row>
    <row r="279" spans="1:19" ht="12.75">
      <c r="A279" s="137"/>
      <c r="B279" s="137"/>
      <c r="C279" s="138"/>
      <c r="D279" s="9"/>
      <c r="E279" s="33"/>
      <c r="F279" s="32"/>
      <c r="G279" s="32"/>
      <c r="H279" s="32"/>
      <c r="I279" s="32"/>
      <c r="J279" s="32"/>
      <c r="K279" s="32"/>
      <c r="L279" s="32"/>
      <c r="M279" s="42"/>
      <c r="N279" s="42"/>
      <c r="O279" s="9"/>
      <c r="P279" s="9"/>
      <c r="Q279" s="9"/>
      <c r="R279" s="9"/>
      <c r="S279" s="9"/>
    </row>
    <row r="280" spans="1:19" ht="12.75">
      <c r="A280" s="137" t="s">
        <v>616</v>
      </c>
      <c r="B280" s="137"/>
      <c r="C280" s="138">
        <v>2.81</v>
      </c>
      <c r="D280" s="9" t="s">
        <v>278</v>
      </c>
      <c r="E280" s="33"/>
      <c r="F280" s="32"/>
      <c r="G280" s="32"/>
      <c r="H280" s="32"/>
      <c r="I280" s="32"/>
      <c r="J280" s="32"/>
      <c r="K280" s="32"/>
      <c r="L280" s="32"/>
      <c r="M280" s="42"/>
      <c r="N280" s="42"/>
      <c r="O280" s="9"/>
      <c r="P280" s="9"/>
      <c r="Q280" s="9"/>
      <c r="R280" s="9"/>
      <c r="S280" s="9"/>
    </row>
    <row r="281" spans="1:19" ht="12.75">
      <c r="A281" s="137"/>
      <c r="B281" s="137"/>
      <c r="C281" s="138">
        <v>0.15</v>
      </c>
      <c r="D281" s="9" t="s">
        <v>278</v>
      </c>
      <c r="E281" s="33"/>
      <c r="F281" s="32"/>
      <c r="G281" s="32"/>
      <c r="H281" s="32"/>
      <c r="I281" s="32"/>
      <c r="J281" s="32"/>
      <c r="K281" s="32"/>
      <c r="L281" s="32"/>
      <c r="M281" s="42"/>
      <c r="N281" s="42"/>
      <c r="O281" s="9"/>
      <c r="P281" s="9"/>
      <c r="Q281" s="9"/>
      <c r="R281" s="9"/>
      <c r="S281" s="9"/>
    </row>
    <row r="282" spans="1:19" ht="12.75">
      <c r="A282" s="137"/>
      <c r="B282" s="137"/>
      <c r="C282" s="138">
        <v>0.3</v>
      </c>
      <c r="D282" s="9" t="s">
        <v>278</v>
      </c>
      <c r="E282" s="31"/>
      <c r="F282" s="9"/>
      <c r="G282" s="32"/>
      <c r="H282" s="32"/>
      <c r="I282" s="32"/>
      <c r="J282" s="32"/>
      <c r="K282" s="32"/>
      <c r="L282" s="32"/>
      <c r="M282" s="42"/>
      <c r="N282" s="42"/>
      <c r="O282" s="9"/>
      <c r="P282" s="9"/>
      <c r="Q282" s="9"/>
      <c r="R282" s="9"/>
      <c r="S282" s="9"/>
    </row>
    <row r="283" spans="1:19" ht="12.75">
      <c r="A283" s="137"/>
      <c r="B283" s="137"/>
      <c r="C283" s="138">
        <v>4</v>
      </c>
      <c r="D283" s="9" t="s">
        <v>255</v>
      </c>
      <c r="E283" s="31">
        <f>C280*C283</f>
        <v>11.24</v>
      </c>
      <c r="F283" s="9" t="s">
        <v>278</v>
      </c>
      <c r="G283" s="32"/>
      <c r="H283" s="32"/>
      <c r="I283" s="32"/>
      <c r="J283" s="32"/>
      <c r="K283" s="32"/>
      <c r="L283" s="32"/>
      <c r="M283" s="42"/>
      <c r="N283" s="42"/>
      <c r="O283" s="9"/>
      <c r="P283" s="9"/>
      <c r="Q283" s="9"/>
      <c r="R283" s="9"/>
      <c r="S283" s="9"/>
    </row>
    <row r="284" spans="1:19" ht="12.75">
      <c r="A284" s="137"/>
      <c r="B284" s="137"/>
      <c r="C284" s="138"/>
      <c r="D284" s="9"/>
      <c r="E284" s="33"/>
      <c r="F284" s="32"/>
      <c r="G284" s="32"/>
      <c r="H284" s="32"/>
      <c r="I284" s="32"/>
      <c r="J284" s="32"/>
      <c r="K284" s="32"/>
      <c r="L284" s="32"/>
      <c r="M284" s="42"/>
      <c r="N284" s="42"/>
      <c r="O284" s="9"/>
      <c r="P284" s="9"/>
      <c r="Q284" s="9"/>
      <c r="R284" s="9"/>
      <c r="S284" s="9"/>
    </row>
    <row r="285" spans="1:19" ht="12.75">
      <c r="A285" s="137" t="s">
        <v>617</v>
      </c>
      <c r="B285" s="137"/>
      <c r="C285" s="138">
        <v>2.25</v>
      </c>
      <c r="D285" s="9" t="s">
        <v>278</v>
      </c>
      <c r="E285" s="33"/>
      <c r="F285" s="32"/>
      <c r="G285" s="32"/>
      <c r="H285" s="32"/>
      <c r="I285" s="32"/>
      <c r="J285" s="32"/>
      <c r="K285" s="32"/>
      <c r="L285" s="32"/>
      <c r="M285" s="42"/>
      <c r="N285" s="42"/>
      <c r="O285" s="9"/>
      <c r="P285" s="9"/>
      <c r="Q285" s="9"/>
      <c r="R285" s="9"/>
      <c r="S285" s="9"/>
    </row>
    <row r="286" spans="1:19" ht="12.75">
      <c r="A286" s="137"/>
      <c r="B286" s="137"/>
      <c r="C286" s="138">
        <v>0.15</v>
      </c>
      <c r="D286" s="9" t="s">
        <v>278</v>
      </c>
      <c r="E286" s="33"/>
      <c r="F286" s="32"/>
      <c r="G286" s="32"/>
      <c r="H286" s="32"/>
      <c r="I286" s="32"/>
      <c r="J286" s="32"/>
      <c r="K286" s="32"/>
      <c r="L286" s="32"/>
      <c r="M286" s="42"/>
      <c r="N286" s="42"/>
      <c r="O286" s="9"/>
      <c r="P286" s="9"/>
      <c r="Q286" s="9"/>
      <c r="R286" s="9"/>
      <c r="S286" s="9"/>
    </row>
    <row r="287" spans="1:19" ht="12.75">
      <c r="A287" s="136"/>
      <c r="B287" s="137"/>
      <c r="C287" s="138">
        <v>0.3</v>
      </c>
      <c r="D287" s="9" t="s">
        <v>278</v>
      </c>
      <c r="E287" s="31"/>
      <c r="F287" s="9"/>
      <c r="G287" s="32"/>
      <c r="H287" s="32"/>
      <c r="I287" s="32"/>
      <c r="J287" s="32"/>
      <c r="K287" s="32"/>
      <c r="L287" s="32"/>
      <c r="M287" s="42"/>
      <c r="N287" s="42"/>
      <c r="O287" s="9"/>
      <c r="P287" s="9"/>
      <c r="Q287" s="9"/>
      <c r="R287" s="9"/>
      <c r="S287" s="9"/>
    </row>
    <row r="288" spans="1:19" ht="12.75">
      <c r="A288" s="136"/>
      <c r="B288" s="137"/>
      <c r="C288" s="138">
        <v>6</v>
      </c>
      <c r="D288" s="9" t="s">
        <v>255</v>
      </c>
      <c r="E288" s="31">
        <f>C285*C288</f>
        <v>13.5</v>
      </c>
      <c r="F288" s="9" t="s">
        <v>278</v>
      </c>
      <c r="G288" s="32"/>
      <c r="H288" s="32"/>
      <c r="I288" s="32"/>
      <c r="J288" s="32"/>
      <c r="K288" s="32"/>
      <c r="L288" s="32"/>
      <c r="M288" s="42"/>
      <c r="N288" s="42"/>
      <c r="O288" s="9"/>
      <c r="P288" s="9"/>
      <c r="Q288" s="9"/>
      <c r="R288" s="9"/>
      <c r="S288" s="9"/>
    </row>
    <row r="289" spans="1:19" ht="12.75">
      <c r="A289" s="136"/>
      <c r="B289" s="137"/>
      <c r="C289" s="138"/>
      <c r="D289" s="9"/>
      <c r="E289" s="33"/>
      <c r="F289" s="32"/>
      <c r="G289" s="32"/>
      <c r="H289" s="32"/>
      <c r="I289" s="32"/>
      <c r="J289" s="32"/>
      <c r="K289" s="32"/>
      <c r="L289" s="42"/>
      <c r="M289" s="42"/>
      <c r="N289" s="42"/>
      <c r="O289" s="9"/>
      <c r="P289" s="9"/>
      <c r="Q289" s="9"/>
      <c r="R289" s="9"/>
      <c r="S289" s="9"/>
    </row>
    <row r="290" spans="1:19" ht="12.75">
      <c r="A290" s="139" t="s">
        <v>614</v>
      </c>
      <c r="B290" s="140"/>
      <c r="C290" s="141"/>
      <c r="D290" s="142"/>
      <c r="E290" s="144"/>
      <c r="F290" s="143"/>
      <c r="G290" s="143"/>
      <c r="H290" s="143"/>
      <c r="I290" s="143"/>
      <c r="J290" s="144">
        <f>E295+E300+E305</f>
        <v>187.9</v>
      </c>
      <c r="K290" s="143" t="s">
        <v>278</v>
      </c>
      <c r="L290" s="72"/>
      <c r="M290" s="42"/>
      <c r="N290" s="42"/>
      <c r="O290" s="9"/>
      <c r="P290" s="9"/>
      <c r="Q290" s="9"/>
      <c r="R290" s="9"/>
      <c r="S290" s="9"/>
    </row>
    <row r="291" spans="1:19" ht="6" customHeight="1">
      <c r="A291" s="139"/>
      <c r="B291" s="140"/>
      <c r="C291" s="141"/>
      <c r="D291" s="142"/>
      <c r="E291" s="144"/>
      <c r="F291" s="143"/>
      <c r="G291" s="143"/>
      <c r="H291" s="143"/>
      <c r="I291" s="143"/>
      <c r="J291" s="144"/>
      <c r="K291" s="143"/>
      <c r="L291" s="42"/>
      <c r="M291" s="42"/>
      <c r="N291" s="42"/>
      <c r="O291" s="9"/>
      <c r="P291" s="9"/>
      <c r="Q291" s="9"/>
      <c r="R291" s="9"/>
      <c r="S291" s="9"/>
    </row>
    <row r="292" spans="1:19" ht="12.75">
      <c r="A292" s="137" t="s">
        <v>625</v>
      </c>
      <c r="B292" s="137"/>
      <c r="C292" s="138">
        <v>2.5</v>
      </c>
      <c r="D292" s="9" t="s">
        <v>278</v>
      </c>
      <c r="E292" s="33"/>
      <c r="F292" s="32"/>
      <c r="G292" s="32"/>
      <c r="H292" s="32"/>
      <c r="I292" s="32"/>
      <c r="J292" s="32"/>
      <c r="K292" s="32"/>
      <c r="L292" s="42"/>
      <c r="M292" s="42"/>
      <c r="N292" s="42"/>
      <c r="O292" s="9"/>
      <c r="P292" s="9"/>
      <c r="Q292" s="9"/>
      <c r="R292" s="9"/>
      <c r="S292" s="9"/>
    </row>
    <row r="293" spans="1:19" ht="12.75">
      <c r="A293" s="137"/>
      <c r="B293" s="137"/>
      <c r="C293" s="145">
        <v>0.075</v>
      </c>
      <c r="D293" s="9" t="s">
        <v>278</v>
      </c>
      <c r="E293" s="33"/>
      <c r="F293" s="32"/>
      <c r="G293" s="32"/>
      <c r="H293" s="32"/>
      <c r="I293" s="32"/>
      <c r="J293" s="32"/>
      <c r="K293" s="32"/>
      <c r="L293" s="42"/>
      <c r="M293" s="42"/>
      <c r="N293" s="42"/>
      <c r="O293" s="9"/>
      <c r="P293" s="9"/>
      <c r="Q293" s="9"/>
      <c r="R293" s="9"/>
      <c r="S293" s="9"/>
    </row>
    <row r="294" spans="1:19" ht="12.75">
      <c r="A294" s="137"/>
      <c r="B294" s="137"/>
      <c r="C294" s="138">
        <v>0.3</v>
      </c>
      <c r="D294" s="9" t="s">
        <v>278</v>
      </c>
      <c r="E294" s="33"/>
      <c r="F294" s="32"/>
      <c r="G294" s="32"/>
      <c r="H294" s="32"/>
      <c r="I294" s="32"/>
      <c r="J294" s="32"/>
      <c r="K294" s="32"/>
      <c r="L294" s="42"/>
      <c r="M294" s="42"/>
      <c r="N294" s="42"/>
      <c r="O294" s="9"/>
      <c r="P294" s="9"/>
      <c r="Q294" s="9"/>
      <c r="R294" s="9"/>
      <c r="S294" s="9"/>
    </row>
    <row r="295" spans="1:19" ht="12.75">
      <c r="A295" s="137"/>
      <c r="B295" s="137"/>
      <c r="C295" s="138">
        <v>19</v>
      </c>
      <c r="D295" s="9" t="s">
        <v>255</v>
      </c>
      <c r="E295" s="31">
        <f>C295*C292</f>
        <v>47.5</v>
      </c>
      <c r="F295" s="9" t="s">
        <v>278</v>
      </c>
      <c r="G295" s="32"/>
      <c r="H295" s="32"/>
      <c r="I295" s="32"/>
      <c r="J295" s="32"/>
      <c r="K295" s="32"/>
      <c r="L295" s="42"/>
      <c r="M295" s="42"/>
      <c r="N295" s="42"/>
      <c r="O295" s="9"/>
      <c r="P295" s="9"/>
      <c r="Q295" s="9"/>
      <c r="R295" s="9"/>
      <c r="S295" s="9"/>
    </row>
    <row r="296" spans="1:19" ht="12.75">
      <c r="A296" s="137"/>
      <c r="B296" s="137"/>
      <c r="C296" s="138"/>
      <c r="D296" s="9"/>
      <c r="E296" s="31"/>
      <c r="F296" s="9"/>
      <c r="G296" s="32"/>
      <c r="H296" s="32"/>
      <c r="I296" s="32"/>
      <c r="J296" s="32"/>
      <c r="K296" s="32"/>
      <c r="L296" s="42"/>
      <c r="M296" s="42"/>
      <c r="N296" s="42"/>
      <c r="O296" s="9"/>
      <c r="P296" s="9"/>
      <c r="Q296" s="9"/>
      <c r="R296" s="9"/>
      <c r="S296" s="9"/>
    </row>
    <row r="297" spans="1:19" ht="12.75">
      <c r="A297" s="137" t="s">
        <v>626</v>
      </c>
      <c r="B297" s="137"/>
      <c r="C297" s="138">
        <v>7.2</v>
      </c>
      <c r="D297" s="9" t="s">
        <v>278</v>
      </c>
      <c r="E297" s="31"/>
      <c r="F297" s="9"/>
      <c r="G297" s="32"/>
      <c r="H297" s="32"/>
      <c r="I297" s="32"/>
      <c r="J297" s="32"/>
      <c r="K297" s="32"/>
      <c r="L297" s="42"/>
      <c r="M297" s="42"/>
      <c r="N297" s="42"/>
      <c r="O297" s="9"/>
      <c r="P297" s="9"/>
      <c r="Q297" s="9"/>
      <c r="R297" s="9"/>
      <c r="S297" s="9"/>
    </row>
    <row r="298" spans="1:19" ht="12.75">
      <c r="A298" s="137"/>
      <c r="B298" s="137"/>
      <c r="C298" s="145">
        <v>0.075</v>
      </c>
      <c r="D298" s="9" t="s">
        <v>278</v>
      </c>
      <c r="E298" s="31"/>
      <c r="F298" s="9"/>
      <c r="G298" s="32"/>
      <c r="H298" s="32"/>
      <c r="I298" s="32"/>
      <c r="J298" s="32"/>
      <c r="K298" s="32"/>
      <c r="L298" s="42"/>
      <c r="M298" s="42"/>
      <c r="N298" s="42"/>
      <c r="O298" s="9"/>
      <c r="P298" s="9"/>
      <c r="Q298" s="9"/>
      <c r="R298" s="9"/>
      <c r="S298" s="9"/>
    </row>
    <row r="299" spans="1:19" ht="12.75">
      <c r="A299" s="137"/>
      <c r="B299" s="137"/>
      <c r="C299" s="138">
        <v>0.3</v>
      </c>
      <c r="D299" s="9" t="s">
        <v>278</v>
      </c>
      <c r="E299" s="31"/>
      <c r="F299" s="9"/>
      <c r="G299" s="32"/>
      <c r="H299" s="32"/>
      <c r="I299" s="32"/>
      <c r="J299" s="32"/>
      <c r="K299" s="32"/>
      <c r="L299" s="42"/>
      <c r="M299" s="42"/>
      <c r="N299" s="42"/>
      <c r="O299" s="9"/>
      <c r="P299" s="9"/>
      <c r="Q299" s="9"/>
      <c r="R299" s="9"/>
      <c r="S299" s="9"/>
    </row>
    <row r="300" spans="1:19" ht="12.75">
      <c r="A300" s="137"/>
      <c r="B300" s="137"/>
      <c r="C300" s="138">
        <v>7</v>
      </c>
      <c r="D300" s="9" t="s">
        <v>255</v>
      </c>
      <c r="E300" s="31">
        <f>C297*C300</f>
        <v>50.4</v>
      </c>
      <c r="F300" s="9" t="s">
        <v>278</v>
      </c>
      <c r="G300" s="32"/>
      <c r="H300" s="32"/>
      <c r="I300" s="32"/>
      <c r="J300" s="32"/>
      <c r="K300" s="32"/>
      <c r="L300" s="42"/>
      <c r="M300" s="42"/>
      <c r="N300" s="42"/>
      <c r="O300" s="9"/>
      <c r="P300" s="9"/>
      <c r="Q300" s="9"/>
      <c r="R300" s="9"/>
      <c r="S300" s="9"/>
    </row>
    <row r="301" spans="1:19" ht="12.75">
      <c r="A301" s="137"/>
      <c r="B301" s="137"/>
      <c r="C301" s="138"/>
      <c r="D301" s="9"/>
      <c r="E301" s="31"/>
      <c r="F301" s="9"/>
      <c r="G301" s="32"/>
      <c r="H301" s="32"/>
      <c r="I301" s="32"/>
      <c r="J301" s="32"/>
      <c r="K301" s="32"/>
      <c r="L301" s="42"/>
      <c r="M301" s="42"/>
      <c r="N301" s="42"/>
      <c r="O301" s="9"/>
      <c r="P301" s="9"/>
      <c r="Q301" s="9"/>
      <c r="R301" s="9"/>
      <c r="S301" s="9"/>
    </row>
    <row r="302" spans="1:19" ht="12.75">
      <c r="A302" s="137" t="s">
        <v>624</v>
      </c>
      <c r="B302" s="137"/>
      <c r="C302" s="138">
        <v>2.5</v>
      </c>
      <c r="D302" s="9" t="s">
        <v>278</v>
      </c>
      <c r="E302" s="33"/>
      <c r="F302" s="32"/>
      <c r="G302" s="32"/>
      <c r="H302" s="32"/>
      <c r="I302" s="32"/>
      <c r="J302" s="32"/>
      <c r="K302" s="32"/>
      <c r="L302" s="42"/>
      <c r="M302" s="42"/>
      <c r="N302" s="42"/>
      <c r="O302" s="9"/>
      <c r="P302" s="9"/>
      <c r="Q302" s="9"/>
      <c r="R302" s="9"/>
      <c r="S302" s="9"/>
    </row>
    <row r="303" spans="1:19" ht="12.75">
      <c r="A303" s="136"/>
      <c r="B303" s="137"/>
      <c r="C303" s="145">
        <v>0.075</v>
      </c>
      <c r="D303" s="9" t="s">
        <v>278</v>
      </c>
      <c r="E303" s="33"/>
      <c r="F303" s="32"/>
      <c r="G303" s="32"/>
      <c r="H303" s="32"/>
      <c r="I303" s="32"/>
      <c r="J303" s="32"/>
      <c r="K303" s="32"/>
      <c r="L303" s="42"/>
      <c r="M303" s="42"/>
      <c r="N303" s="42"/>
      <c r="O303" s="9"/>
      <c r="P303" s="9"/>
      <c r="Q303" s="9"/>
      <c r="R303" s="9"/>
      <c r="S303" s="9"/>
    </row>
    <row r="304" spans="1:19" ht="12.75">
      <c r="A304" s="136"/>
      <c r="B304" s="137"/>
      <c r="C304" s="138">
        <v>0.3</v>
      </c>
      <c r="D304" s="9" t="s">
        <v>278</v>
      </c>
      <c r="E304" s="33"/>
      <c r="F304" s="32"/>
      <c r="G304" s="32"/>
      <c r="H304" s="32"/>
      <c r="I304" s="32"/>
      <c r="J304" s="32"/>
      <c r="K304" s="32"/>
      <c r="L304" s="42"/>
      <c r="M304" s="42"/>
      <c r="N304" s="42"/>
      <c r="O304" s="9"/>
      <c r="P304" s="9"/>
      <c r="Q304" s="9"/>
      <c r="R304" s="9"/>
      <c r="S304" s="9"/>
    </row>
    <row r="305" spans="1:19" ht="12.75">
      <c r="A305" s="136"/>
      <c r="B305" s="137"/>
      <c r="C305" s="138">
        <v>36</v>
      </c>
      <c r="D305" s="9" t="s">
        <v>255</v>
      </c>
      <c r="E305" s="31">
        <f>C305*C302</f>
        <v>90</v>
      </c>
      <c r="F305" s="9" t="s">
        <v>278</v>
      </c>
      <c r="G305" s="32"/>
      <c r="H305" s="32"/>
      <c r="I305" s="32"/>
      <c r="J305" s="32"/>
      <c r="K305" s="32"/>
      <c r="L305" s="42"/>
      <c r="M305" s="42"/>
      <c r="N305" s="42"/>
      <c r="O305" s="9"/>
      <c r="P305" s="9"/>
      <c r="Q305" s="9"/>
      <c r="R305" s="9"/>
      <c r="S305" s="9"/>
    </row>
    <row r="306" spans="1:19" ht="12.75">
      <c r="A306" s="136"/>
      <c r="B306" s="136"/>
      <c r="C306" s="146"/>
      <c r="D306" s="32"/>
      <c r="E306" s="33"/>
      <c r="F306" s="32"/>
      <c r="G306" s="32"/>
      <c r="H306" s="32"/>
      <c r="I306" s="32"/>
      <c r="J306" s="32"/>
      <c r="K306" s="32"/>
      <c r="L306" s="42"/>
      <c r="M306" s="42"/>
      <c r="N306" s="42"/>
      <c r="O306" s="9"/>
      <c r="P306" s="9"/>
      <c r="Q306" s="9"/>
      <c r="R306" s="9"/>
      <c r="S306" s="9"/>
    </row>
    <row r="307" spans="1:19" ht="12.75">
      <c r="A307" s="33" t="s">
        <v>673</v>
      </c>
      <c r="B307" s="31"/>
      <c r="C307" s="31"/>
      <c r="D307" s="31"/>
      <c r="E307" s="31"/>
      <c r="F307" s="31"/>
      <c r="G307" s="31"/>
      <c r="H307" s="31"/>
      <c r="I307" s="31"/>
      <c r="J307" s="31"/>
      <c r="K307" s="43"/>
      <c r="L307" s="43"/>
      <c r="M307" s="40"/>
      <c r="N307" s="43"/>
      <c r="O307" s="31"/>
      <c r="P307" s="31"/>
      <c r="Q307" s="31"/>
      <c r="R307" s="31"/>
      <c r="S307" s="9"/>
    </row>
    <row r="308" spans="1:19" ht="12.75">
      <c r="A308" s="31" t="s">
        <v>620</v>
      </c>
      <c r="B308" s="31"/>
      <c r="C308" s="31"/>
      <c r="D308" s="31"/>
      <c r="E308" s="31"/>
      <c r="F308" s="31"/>
      <c r="G308" s="31"/>
      <c r="H308" s="31"/>
      <c r="I308" s="31"/>
      <c r="J308" s="33">
        <f>C313+C310+C309</f>
        <v>8.64</v>
      </c>
      <c r="K308" s="33" t="s">
        <v>276</v>
      </c>
      <c r="L308" s="43"/>
      <c r="M308" s="40"/>
      <c r="N308" s="43"/>
      <c r="O308" s="31"/>
      <c r="P308" s="31"/>
      <c r="Q308" s="31"/>
      <c r="R308" s="31"/>
      <c r="S308" s="9"/>
    </row>
    <row r="309" spans="1:19" ht="12.75">
      <c r="A309" s="31" t="s">
        <v>622</v>
      </c>
      <c r="B309" s="31"/>
      <c r="C309" s="31">
        <v>0.96</v>
      </c>
      <c r="D309" s="31" t="s">
        <v>276</v>
      </c>
      <c r="E309" s="31"/>
      <c r="F309" s="31"/>
      <c r="G309" s="31"/>
      <c r="H309" s="31"/>
      <c r="I309" s="31"/>
      <c r="J309" s="31"/>
      <c r="K309" s="31"/>
      <c r="L309" s="43"/>
      <c r="M309" s="43"/>
      <c r="N309" s="43"/>
      <c r="O309" s="31"/>
      <c r="P309" s="31"/>
      <c r="Q309" s="31"/>
      <c r="R309" s="31"/>
      <c r="S309" s="9"/>
    </row>
    <row r="310" spans="1:19" ht="12.75">
      <c r="A310" s="31" t="s">
        <v>623</v>
      </c>
      <c r="B310" s="31"/>
      <c r="C310" s="31">
        <v>0.48</v>
      </c>
      <c r="D310" s="31" t="s">
        <v>276</v>
      </c>
      <c r="E310" s="31"/>
      <c r="F310" s="31"/>
      <c r="G310" s="31"/>
      <c r="H310" s="31"/>
      <c r="I310" s="31"/>
      <c r="J310" s="31"/>
      <c r="K310" s="31"/>
      <c r="L310" s="43"/>
      <c r="M310" s="40"/>
      <c r="N310" s="43"/>
      <c r="O310" s="31"/>
      <c r="P310" s="31"/>
      <c r="Q310" s="31"/>
      <c r="R310" s="31"/>
      <c r="S310" s="9"/>
    </row>
    <row r="311" spans="1:19" ht="12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43"/>
      <c r="M311" s="40"/>
      <c r="N311" s="43"/>
      <c r="O311" s="31"/>
      <c r="P311" s="31"/>
      <c r="Q311" s="31"/>
      <c r="R311" s="31"/>
      <c r="S311" s="9"/>
    </row>
    <row r="312" spans="1:19" ht="12.75">
      <c r="A312" s="31" t="s">
        <v>621</v>
      </c>
      <c r="B312" s="31"/>
      <c r="C312" s="31"/>
      <c r="D312" s="31"/>
      <c r="E312" s="31"/>
      <c r="F312" s="31"/>
      <c r="G312" s="31"/>
      <c r="H312" s="31"/>
      <c r="I312" s="31"/>
      <c r="J312" s="33">
        <f>C317+E317+G317</f>
        <v>137.88</v>
      </c>
      <c r="K312" s="33" t="s">
        <v>276</v>
      </c>
      <c r="L312" s="43"/>
      <c r="M312" s="40"/>
      <c r="N312" s="43"/>
      <c r="O312" s="31"/>
      <c r="P312" s="31"/>
      <c r="Q312" s="31"/>
      <c r="R312" s="31"/>
      <c r="S312" s="9"/>
    </row>
    <row r="313" spans="1:19" ht="12.75">
      <c r="A313" s="31" t="s">
        <v>510</v>
      </c>
      <c r="B313" s="31"/>
      <c r="C313" s="31">
        <v>7.2</v>
      </c>
      <c r="D313" s="31" t="s">
        <v>278</v>
      </c>
      <c r="E313" s="31">
        <v>2.5</v>
      </c>
      <c r="F313" s="31" t="s">
        <v>278</v>
      </c>
      <c r="G313" s="31">
        <v>2.5</v>
      </c>
      <c r="H313" s="31" t="s">
        <v>278</v>
      </c>
      <c r="I313" s="31"/>
      <c r="J313" s="31"/>
      <c r="K313" s="31"/>
      <c r="L313" s="43"/>
      <c r="M313" s="40"/>
      <c r="N313" s="43"/>
      <c r="O313" s="31"/>
      <c r="P313" s="31"/>
      <c r="Q313" s="31"/>
      <c r="R313" s="31"/>
      <c r="S313" s="9"/>
    </row>
    <row r="314" spans="1:19" ht="12.75">
      <c r="A314" s="31" t="s">
        <v>511</v>
      </c>
      <c r="B314" s="31"/>
      <c r="C314" s="31">
        <v>0.3</v>
      </c>
      <c r="D314" s="31" t="s">
        <v>278</v>
      </c>
      <c r="E314" s="31">
        <v>0.3</v>
      </c>
      <c r="F314" s="31" t="s">
        <v>278</v>
      </c>
      <c r="G314" s="31">
        <v>0.3</v>
      </c>
      <c r="H314" s="31" t="s">
        <v>278</v>
      </c>
      <c r="I314" s="31"/>
      <c r="J314" s="31"/>
      <c r="K314" s="43"/>
      <c r="L314" s="43"/>
      <c r="M314" s="40"/>
      <c r="N314" s="43"/>
      <c r="O314" s="31"/>
      <c r="P314" s="31"/>
      <c r="Q314" s="31"/>
      <c r="R314" s="31"/>
      <c r="S314" s="9"/>
    </row>
    <row r="315" spans="1:19" ht="12.75">
      <c r="A315" s="31" t="s">
        <v>610</v>
      </c>
      <c r="B315" s="31"/>
      <c r="C315" s="31">
        <v>9</v>
      </c>
      <c r="D315" s="31" t="s">
        <v>255</v>
      </c>
      <c r="E315" s="31">
        <v>22</v>
      </c>
      <c r="F315" s="31" t="s">
        <v>255</v>
      </c>
      <c r="G315" s="31">
        <v>44</v>
      </c>
      <c r="H315" s="31" t="s">
        <v>255</v>
      </c>
      <c r="I315" s="31"/>
      <c r="J315" s="31"/>
      <c r="K315" s="43"/>
      <c r="L315" s="43"/>
      <c r="M315" s="40"/>
      <c r="N315" s="43"/>
      <c r="O315" s="31"/>
      <c r="P315" s="31"/>
      <c r="Q315" s="31"/>
      <c r="R315" s="31"/>
      <c r="S315" s="9"/>
    </row>
    <row r="316" spans="1:19" ht="12.75">
      <c r="A316" s="31"/>
      <c r="B316" s="31"/>
      <c r="C316" s="31">
        <v>2</v>
      </c>
      <c r="D316" s="31" t="s">
        <v>503</v>
      </c>
      <c r="E316" s="31">
        <v>2</v>
      </c>
      <c r="F316" s="31" t="s">
        <v>503</v>
      </c>
      <c r="G316" s="31">
        <v>2</v>
      </c>
      <c r="H316" s="31" t="s">
        <v>503</v>
      </c>
      <c r="I316" s="31"/>
      <c r="J316" s="31"/>
      <c r="K316" s="43"/>
      <c r="L316" s="43"/>
      <c r="M316" s="40"/>
      <c r="N316" s="43"/>
      <c r="O316" s="31"/>
      <c r="P316" s="31"/>
      <c r="Q316" s="31"/>
      <c r="R316" s="31"/>
      <c r="S316" s="9"/>
    </row>
    <row r="317" spans="1:19" ht="12.75">
      <c r="A317" s="31"/>
      <c r="B317" s="138" t="s">
        <v>548</v>
      </c>
      <c r="C317" s="31">
        <f>C313*C314*C315*C316</f>
        <v>38.88</v>
      </c>
      <c r="D317" s="31" t="s">
        <v>276</v>
      </c>
      <c r="E317" s="31">
        <f>E313*E314*E315*E316</f>
        <v>33</v>
      </c>
      <c r="F317" s="31" t="s">
        <v>276</v>
      </c>
      <c r="G317" s="31">
        <f>G313*G314*G315*G316</f>
        <v>66</v>
      </c>
      <c r="H317" s="31" t="s">
        <v>276</v>
      </c>
      <c r="I317" s="31"/>
      <c r="J317" s="31"/>
      <c r="K317" s="43"/>
      <c r="L317" s="43"/>
      <c r="M317" s="40"/>
      <c r="N317" s="43"/>
      <c r="O317" s="31"/>
      <c r="P317" s="31"/>
      <c r="Q317" s="31"/>
      <c r="R317" s="31"/>
      <c r="S317" s="9"/>
    </row>
    <row r="318" spans="1:19" ht="12.75">
      <c r="A318" s="43"/>
      <c r="B318" s="43"/>
      <c r="C318" s="131"/>
      <c r="D318" s="131"/>
      <c r="E318" s="43"/>
      <c r="F318" s="43"/>
      <c r="G318" s="43"/>
      <c r="H318" s="43"/>
      <c r="I318" s="43"/>
      <c r="J318" s="43"/>
      <c r="K318" s="43"/>
      <c r="L318" s="43"/>
      <c r="M318" s="40"/>
      <c r="N318" s="43"/>
      <c r="O318" s="31"/>
      <c r="P318" s="31"/>
      <c r="Q318" s="31"/>
      <c r="R318" s="31"/>
      <c r="S318" s="9"/>
    </row>
    <row r="319" spans="1:19" ht="12.75">
      <c r="A319" s="32" t="s">
        <v>674</v>
      </c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0"/>
      <c r="N319" s="40"/>
      <c r="O319" s="9"/>
      <c r="P319" s="9"/>
      <c r="Q319" s="9"/>
      <c r="R319" s="9"/>
      <c r="S319" s="9"/>
    </row>
    <row r="320" spans="1:19" ht="12.75">
      <c r="A320" s="40" t="s">
        <v>602</v>
      </c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0"/>
      <c r="N320" s="40"/>
      <c r="O320" s="9"/>
      <c r="P320" s="9"/>
      <c r="Q320" s="9"/>
      <c r="R320" s="9"/>
      <c r="S320" s="9"/>
    </row>
    <row r="321" spans="1:19" ht="12.75">
      <c r="A321" s="40" t="s">
        <v>603</v>
      </c>
      <c r="B321" s="43"/>
      <c r="C321" s="43">
        <v>11.9</v>
      </c>
      <c r="D321" s="43" t="s">
        <v>278</v>
      </c>
      <c r="E321" s="43"/>
      <c r="F321" s="43"/>
      <c r="G321" s="43"/>
      <c r="H321" s="43"/>
      <c r="I321" s="43"/>
      <c r="J321" s="43"/>
      <c r="K321" s="43"/>
      <c r="L321" s="43"/>
      <c r="M321" s="40"/>
      <c r="N321" s="40"/>
      <c r="O321" s="9"/>
      <c r="P321" s="9"/>
      <c r="Q321" s="9"/>
      <c r="R321" s="9"/>
      <c r="S321" s="9"/>
    </row>
    <row r="322" spans="1:19" ht="12.75">
      <c r="A322" s="40" t="s">
        <v>604</v>
      </c>
      <c r="B322" s="43"/>
      <c r="C322" s="43">
        <v>14</v>
      </c>
      <c r="D322" s="43" t="s">
        <v>605</v>
      </c>
      <c r="E322" s="43"/>
      <c r="F322" s="43"/>
      <c r="G322" s="43"/>
      <c r="H322" s="43"/>
      <c r="I322" s="43"/>
      <c r="J322" s="44">
        <f>C321*C322</f>
        <v>166.6</v>
      </c>
      <c r="K322" s="44" t="s">
        <v>278</v>
      </c>
      <c r="L322" s="43"/>
      <c r="M322" s="40"/>
      <c r="N322" s="40"/>
      <c r="O322" s="9"/>
      <c r="P322" s="9"/>
      <c r="Q322" s="9"/>
      <c r="R322" s="9"/>
      <c r="S322" s="9"/>
    </row>
    <row r="323" spans="1:19" ht="6.75" customHeight="1">
      <c r="A323" s="40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0"/>
      <c r="N323" s="40"/>
      <c r="O323" s="9"/>
      <c r="P323" s="9"/>
      <c r="Q323" s="9"/>
      <c r="R323" s="9"/>
      <c r="S323" s="9"/>
    </row>
    <row r="324" spans="1:19" ht="12.75">
      <c r="A324" s="43" t="s">
        <v>256</v>
      </c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0"/>
      <c r="N324" s="40"/>
      <c r="O324" s="9"/>
      <c r="P324" s="9"/>
      <c r="Q324" s="9"/>
      <c r="R324" s="9"/>
      <c r="S324" s="9"/>
    </row>
    <row r="325" spans="1:19" ht="12.75">
      <c r="A325" s="43" t="s">
        <v>606</v>
      </c>
      <c r="B325" s="43"/>
      <c r="C325" s="43"/>
      <c r="D325" s="43"/>
      <c r="E325" s="43"/>
      <c r="F325" s="43"/>
      <c r="G325" s="43">
        <v>49.98</v>
      </c>
      <c r="H325" s="43" t="s">
        <v>276</v>
      </c>
      <c r="I325" s="43"/>
      <c r="J325" s="44">
        <f>G325</f>
        <v>49.98</v>
      </c>
      <c r="K325" s="44" t="s">
        <v>276</v>
      </c>
      <c r="L325" s="43"/>
      <c r="M325" s="40"/>
      <c r="N325" s="40"/>
      <c r="O325" s="9"/>
      <c r="P325" s="9"/>
      <c r="Q325" s="9"/>
      <c r="R325" s="9"/>
      <c r="S325" s="9"/>
    </row>
    <row r="326" spans="1:19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0"/>
      <c r="N326" s="40"/>
      <c r="O326" s="9"/>
      <c r="P326" s="9"/>
      <c r="Q326" s="9"/>
      <c r="R326" s="9"/>
      <c r="S326" s="9"/>
    </row>
    <row r="327" spans="1:19" ht="12.75">
      <c r="A327" s="33" t="s">
        <v>675</v>
      </c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0"/>
      <c r="N327" s="40"/>
      <c r="O327" s="9"/>
      <c r="P327" s="9"/>
      <c r="Q327" s="9"/>
      <c r="R327" s="9"/>
      <c r="S327" s="9"/>
    </row>
    <row r="328" spans="1:19" ht="12.75">
      <c r="A328" s="560" t="s">
        <v>611</v>
      </c>
      <c r="B328" s="561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0"/>
      <c r="N328" s="40"/>
      <c r="O328" s="9"/>
      <c r="P328" s="9"/>
      <c r="Q328" s="9"/>
      <c r="R328" s="9"/>
      <c r="S328" s="9"/>
    </row>
    <row r="329" spans="1:19" ht="12.75">
      <c r="A329" s="43" t="s">
        <v>612</v>
      </c>
      <c r="B329" s="43"/>
      <c r="C329" s="43">
        <v>9.15</v>
      </c>
      <c r="D329" s="43" t="s">
        <v>278</v>
      </c>
      <c r="E329" s="43"/>
      <c r="F329" s="43"/>
      <c r="G329" s="43"/>
      <c r="H329" s="43"/>
      <c r="I329" s="43"/>
      <c r="J329" s="43"/>
      <c r="K329" s="43"/>
      <c r="L329" s="43"/>
      <c r="M329" s="40"/>
      <c r="N329" s="40"/>
      <c r="O329" s="9"/>
      <c r="P329" s="9"/>
      <c r="Q329" s="9"/>
      <c r="R329" s="9"/>
      <c r="S329" s="9"/>
    </row>
    <row r="330" spans="1:19" ht="12.75">
      <c r="A330" s="43" t="s">
        <v>501</v>
      </c>
      <c r="B330" s="43"/>
      <c r="C330" s="43">
        <v>3</v>
      </c>
      <c r="D330" s="43" t="s">
        <v>278</v>
      </c>
      <c r="E330" s="43"/>
      <c r="F330" s="43"/>
      <c r="G330" s="43"/>
      <c r="H330" s="43"/>
      <c r="I330" s="43"/>
      <c r="J330" s="44">
        <f>C330*C329</f>
        <v>27.450000000000003</v>
      </c>
      <c r="K330" s="44" t="s">
        <v>276</v>
      </c>
      <c r="L330" s="43"/>
      <c r="M330" s="40"/>
      <c r="N330" s="40"/>
      <c r="O330" s="9"/>
      <c r="P330" s="9"/>
      <c r="Q330" s="9"/>
      <c r="R330" s="9"/>
      <c r="S330" s="9"/>
    </row>
    <row r="331" spans="1:19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0"/>
      <c r="N331" s="40"/>
      <c r="O331" s="9"/>
      <c r="P331" s="9"/>
      <c r="Q331" s="9"/>
      <c r="R331" s="9"/>
      <c r="S331" s="9"/>
    </row>
    <row r="332" spans="1:19" ht="12.75">
      <c r="A332" s="42" t="s">
        <v>676</v>
      </c>
      <c r="B332" s="43"/>
      <c r="C332" s="43"/>
      <c r="D332" s="43"/>
      <c r="E332" s="43"/>
      <c r="F332" s="43"/>
      <c r="G332" s="43"/>
      <c r="H332" s="43"/>
      <c r="I332" s="43"/>
      <c r="J332" s="44">
        <v>2</v>
      </c>
      <c r="K332" s="44" t="s">
        <v>309</v>
      </c>
      <c r="L332" s="43"/>
      <c r="M332" s="40"/>
      <c r="N332" s="40"/>
      <c r="O332" s="9"/>
      <c r="P332" s="9"/>
      <c r="Q332" s="9"/>
      <c r="R332" s="9"/>
      <c r="S332" s="9"/>
    </row>
    <row r="333" spans="1:19" ht="12.75">
      <c r="A333" s="40" t="s">
        <v>562</v>
      </c>
      <c r="B333" s="43"/>
      <c r="C333" s="43"/>
      <c r="D333" s="43"/>
      <c r="E333" s="43"/>
      <c r="F333" s="43"/>
      <c r="G333" s="43"/>
      <c r="H333" s="43"/>
      <c r="I333" s="43"/>
      <c r="J333" s="44"/>
      <c r="K333" s="44"/>
      <c r="L333" s="43"/>
      <c r="M333" s="40"/>
      <c r="N333" s="40"/>
      <c r="O333" s="9"/>
      <c r="P333" s="9"/>
      <c r="Q333" s="9"/>
      <c r="R333" s="9"/>
      <c r="S333" s="9"/>
    </row>
    <row r="334" spans="1:19" ht="12.75">
      <c r="A334" s="40" t="s">
        <v>510</v>
      </c>
      <c r="B334" s="43"/>
      <c r="C334" s="43">
        <v>3.9</v>
      </c>
      <c r="D334" s="43" t="s">
        <v>278</v>
      </c>
      <c r="E334" s="43"/>
      <c r="F334" s="43"/>
      <c r="G334" s="43"/>
      <c r="H334" s="43"/>
      <c r="I334" s="43"/>
      <c r="J334" s="44"/>
      <c r="K334" s="44"/>
      <c r="L334" s="43"/>
      <c r="M334" s="40"/>
      <c r="N334" s="40"/>
      <c r="O334" s="9"/>
      <c r="P334" s="9"/>
      <c r="Q334" s="9"/>
      <c r="R334" s="9"/>
      <c r="S334" s="9"/>
    </row>
    <row r="335" spans="1:19" ht="12.75">
      <c r="A335" s="40" t="s">
        <v>511</v>
      </c>
      <c r="B335" s="43"/>
      <c r="C335" s="43">
        <v>1.34</v>
      </c>
      <c r="D335" s="43" t="s">
        <v>278</v>
      </c>
      <c r="E335" s="43"/>
      <c r="F335" s="43"/>
      <c r="G335" s="43"/>
      <c r="H335" s="43"/>
      <c r="I335" s="43"/>
      <c r="J335" s="44"/>
      <c r="K335" s="44"/>
      <c r="L335" s="43"/>
      <c r="M335" s="40"/>
      <c r="N335" s="40"/>
      <c r="O335" s="9"/>
      <c r="P335" s="9"/>
      <c r="Q335" s="9"/>
      <c r="R335" s="9"/>
      <c r="S335" s="9"/>
    </row>
    <row r="336" spans="1:19" ht="12.75">
      <c r="A336" s="40"/>
      <c r="B336" s="43"/>
      <c r="C336" s="43">
        <v>2</v>
      </c>
      <c r="D336" s="43" t="s">
        <v>561</v>
      </c>
      <c r="E336" s="43"/>
      <c r="F336" s="43" t="s">
        <v>12</v>
      </c>
      <c r="G336" s="43">
        <f>C334*C335*C336</f>
        <v>10.452</v>
      </c>
      <c r="H336" s="43" t="s">
        <v>276</v>
      </c>
      <c r="I336" s="43"/>
      <c r="J336" s="44"/>
      <c r="K336" s="44"/>
      <c r="L336" s="43"/>
      <c r="M336" s="40"/>
      <c r="N336" s="40"/>
      <c r="O336" s="9"/>
      <c r="P336" s="9"/>
      <c r="Q336" s="9"/>
      <c r="R336" s="9"/>
      <c r="S336" s="9"/>
    </row>
    <row r="337" spans="1:19" ht="12.75">
      <c r="A337" s="40" t="s">
        <v>563</v>
      </c>
      <c r="B337" s="43"/>
      <c r="C337" s="43"/>
      <c r="D337" s="43"/>
      <c r="E337" s="43"/>
      <c r="F337" s="43"/>
      <c r="G337" s="43"/>
      <c r="H337" s="43"/>
      <c r="I337" s="43"/>
      <c r="J337" s="44"/>
      <c r="K337" s="44"/>
      <c r="L337" s="43"/>
      <c r="M337" s="40"/>
      <c r="N337" s="40"/>
      <c r="O337" s="9"/>
      <c r="P337" s="9"/>
      <c r="Q337" s="9"/>
      <c r="R337" s="9"/>
      <c r="S337" s="9"/>
    </row>
    <row r="338" spans="1:19" ht="12.75">
      <c r="A338" s="40" t="s">
        <v>510</v>
      </c>
      <c r="B338" s="43"/>
      <c r="C338" s="43">
        <v>8.15</v>
      </c>
      <c r="D338" s="43" t="s">
        <v>278</v>
      </c>
      <c r="E338" s="43"/>
      <c r="F338" s="43"/>
      <c r="G338" s="43"/>
      <c r="H338" s="43"/>
      <c r="I338" s="43"/>
      <c r="J338" s="44"/>
      <c r="K338" s="44"/>
      <c r="L338" s="43"/>
      <c r="M338" s="40"/>
      <c r="N338" s="40"/>
      <c r="O338" s="9"/>
      <c r="P338" s="9"/>
      <c r="Q338" s="9"/>
      <c r="R338" s="9"/>
      <c r="S338" s="9"/>
    </row>
    <row r="339" spans="1:19" ht="12.75">
      <c r="A339" s="40" t="s">
        <v>511</v>
      </c>
      <c r="B339" s="43"/>
      <c r="C339" s="43">
        <v>3.38</v>
      </c>
      <c r="D339" s="43" t="s">
        <v>278</v>
      </c>
      <c r="E339" s="43"/>
      <c r="F339" s="43" t="s">
        <v>12</v>
      </c>
      <c r="G339" s="43">
        <f>C338*C339</f>
        <v>27.547</v>
      </c>
      <c r="H339" s="43" t="s">
        <v>276</v>
      </c>
      <c r="I339" s="43"/>
      <c r="J339" s="44"/>
      <c r="K339" s="44"/>
      <c r="L339" s="43"/>
      <c r="M339" s="40"/>
      <c r="N339" s="40"/>
      <c r="O339" s="9"/>
      <c r="P339" s="9"/>
      <c r="Q339" s="9"/>
      <c r="R339" s="9"/>
      <c r="S339" s="9"/>
    </row>
    <row r="340" spans="1:19" ht="12.75">
      <c r="A340" s="40"/>
      <c r="B340" s="43"/>
      <c r="C340" s="43"/>
      <c r="D340" s="43"/>
      <c r="E340" s="43"/>
      <c r="F340" s="43"/>
      <c r="G340" s="43"/>
      <c r="H340" s="43"/>
      <c r="I340" s="43" t="s">
        <v>502</v>
      </c>
      <c r="J340" s="44">
        <f>G336+G339</f>
        <v>37.999</v>
      </c>
      <c r="K340" s="44" t="s">
        <v>276</v>
      </c>
      <c r="L340" s="43"/>
      <c r="M340" s="40"/>
      <c r="N340" s="40"/>
      <c r="O340" s="9"/>
      <c r="P340" s="9"/>
      <c r="Q340" s="9"/>
      <c r="R340" s="9"/>
      <c r="S340" s="9"/>
    </row>
    <row r="341" spans="1:19" ht="12.75">
      <c r="A341" s="42" t="s">
        <v>677</v>
      </c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0"/>
      <c r="N341" s="40"/>
      <c r="O341" s="9"/>
      <c r="P341" s="9"/>
      <c r="Q341" s="9"/>
      <c r="R341" s="9"/>
      <c r="S341" s="9"/>
    </row>
    <row r="342" spans="1:19" ht="12.75">
      <c r="A342" s="40" t="s">
        <v>559</v>
      </c>
      <c r="B342" s="43"/>
      <c r="C342" s="43"/>
      <c r="D342" s="43"/>
      <c r="E342" s="43"/>
      <c r="F342" s="43"/>
      <c r="G342" s="43">
        <v>19.18</v>
      </c>
      <c r="H342" s="43" t="s">
        <v>278</v>
      </c>
      <c r="I342" s="43"/>
      <c r="J342" s="44"/>
      <c r="K342" s="44"/>
      <c r="L342" s="43"/>
      <c r="M342" s="40"/>
      <c r="N342" s="40"/>
      <c r="O342" s="9"/>
      <c r="P342" s="9"/>
      <c r="Q342" s="9"/>
      <c r="R342" s="9"/>
      <c r="S342" s="9"/>
    </row>
    <row r="343" spans="1:19" ht="12.75">
      <c r="A343" s="40" t="s">
        <v>560</v>
      </c>
      <c r="B343" s="43"/>
      <c r="C343" s="43"/>
      <c r="D343" s="43"/>
      <c r="E343" s="43"/>
      <c r="F343" s="43"/>
      <c r="G343" s="43">
        <v>3.39</v>
      </c>
      <c r="H343" s="43" t="s">
        <v>278</v>
      </c>
      <c r="I343" s="43"/>
      <c r="J343" s="44">
        <f>G342+G343</f>
        <v>22.57</v>
      </c>
      <c r="K343" s="44" t="s">
        <v>278</v>
      </c>
      <c r="L343" s="43"/>
      <c r="M343" s="40"/>
      <c r="N343" s="40"/>
      <c r="O343" s="9"/>
      <c r="P343" s="9"/>
      <c r="Q343" s="9"/>
      <c r="R343" s="9"/>
      <c r="S343" s="9"/>
    </row>
    <row r="344" spans="1:19" ht="12.75">
      <c r="A344" s="40" t="s">
        <v>565</v>
      </c>
      <c r="B344" s="43"/>
      <c r="C344" s="43"/>
      <c r="D344" s="43"/>
      <c r="E344" s="43"/>
      <c r="F344" s="43"/>
      <c r="G344" s="43">
        <v>0.9</v>
      </c>
      <c r="H344" s="43" t="s">
        <v>278</v>
      </c>
      <c r="I344" s="43"/>
      <c r="J344" s="44">
        <f>(G342+G343)*G344</f>
        <v>20.313000000000002</v>
      </c>
      <c r="K344" s="44" t="s">
        <v>276</v>
      </c>
      <c r="L344" s="43"/>
      <c r="M344" s="40"/>
      <c r="N344" s="40"/>
      <c r="O344" s="9"/>
      <c r="P344" s="9"/>
      <c r="Q344" s="9"/>
      <c r="R344" s="9"/>
      <c r="S344" s="9"/>
    </row>
    <row r="345" spans="1:19" ht="10.5" customHeight="1">
      <c r="A345" s="40"/>
      <c r="B345" s="43"/>
      <c r="C345" s="43"/>
      <c r="D345" s="43"/>
      <c r="E345" s="43"/>
      <c r="F345" s="43"/>
      <c r="G345" s="43"/>
      <c r="H345" s="43"/>
      <c r="I345" s="43"/>
      <c r="J345" s="44"/>
      <c r="K345" s="44"/>
      <c r="L345" s="43"/>
      <c r="M345" s="40"/>
      <c r="N345" s="40"/>
      <c r="O345" s="9"/>
      <c r="P345" s="9"/>
      <c r="Q345" s="9"/>
      <c r="R345" s="9"/>
      <c r="S345" s="9"/>
    </row>
    <row r="346" spans="1:19" ht="12.75">
      <c r="A346" s="42" t="s">
        <v>678</v>
      </c>
      <c r="B346" s="40"/>
      <c r="C346" s="40"/>
      <c r="D346" s="40"/>
      <c r="F346" s="40"/>
      <c r="G346" s="40"/>
      <c r="H346" s="40"/>
      <c r="I346" s="40"/>
      <c r="J346" s="43"/>
      <c r="K346" s="40"/>
      <c r="L346" s="40"/>
      <c r="M346" s="40"/>
      <c r="N346" s="40"/>
      <c r="O346" s="9"/>
      <c r="P346" s="9"/>
      <c r="Q346" s="9"/>
      <c r="R346" s="9"/>
      <c r="S346" s="9"/>
    </row>
    <row r="347" spans="1:19" ht="12.75">
      <c r="A347" s="9"/>
      <c r="B347" s="114" t="s">
        <v>579</v>
      </c>
      <c r="C347" s="110"/>
      <c r="D347" s="111"/>
      <c r="E347" s="9"/>
      <c r="F347" s="9"/>
      <c r="G347" s="9"/>
      <c r="H347" s="9"/>
      <c r="I347" s="9"/>
      <c r="J347" s="33">
        <v>110</v>
      </c>
      <c r="K347" s="32" t="s">
        <v>278</v>
      </c>
      <c r="L347" s="9"/>
      <c r="M347" s="9"/>
      <c r="N347" s="9"/>
      <c r="O347" s="9"/>
      <c r="P347" s="9"/>
      <c r="Q347" s="9"/>
      <c r="R347" s="9"/>
      <c r="S347" s="9"/>
    </row>
    <row r="348" spans="1:19" ht="12.75">
      <c r="A348" s="9"/>
      <c r="B348" s="114" t="s">
        <v>578</v>
      </c>
      <c r="C348" s="110"/>
      <c r="D348" s="111"/>
      <c r="E348" s="9"/>
      <c r="F348" s="9"/>
      <c r="G348" s="9"/>
      <c r="H348" s="9"/>
      <c r="I348" s="9"/>
      <c r="J348" s="33">
        <v>32.2</v>
      </c>
      <c r="K348" s="32" t="s">
        <v>278</v>
      </c>
      <c r="L348" s="9"/>
      <c r="M348" s="9"/>
      <c r="N348" s="9"/>
      <c r="O348" s="9"/>
      <c r="P348" s="9"/>
      <c r="Q348" s="9"/>
      <c r="R348" s="9"/>
      <c r="S348" s="9"/>
    </row>
    <row r="349" spans="1:19" ht="12.75">
      <c r="A349" s="9"/>
      <c r="B349" s="114" t="s">
        <v>580</v>
      </c>
      <c r="C349" s="110"/>
      <c r="D349" s="111"/>
      <c r="E349" s="9"/>
      <c r="F349" s="9"/>
      <c r="G349" s="9"/>
      <c r="H349" s="9"/>
      <c r="I349" s="9"/>
      <c r="J349" s="33">
        <v>10.2</v>
      </c>
      <c r="K349" s="32" t="s">
        <v>278</v>
      </c>
      <c r="L349" s="9"/>
      <c r="M349" s="9"/>
      <c r="N349" s="9"/>
      <c r="O349" s="9"/>
      <c r="P349" s="9"/>
      <c r="Q349" s="9"/>
      <c r="R349" s="9"/>
      <c r="S349" s="9"/>
    </row>
    <row r="350" spans="1:19" ht="12.75">
      <c r="A350" s="57"/>
      <c r="B350" s="115" t="s">
        <v>581</v>
      </c>
      <c r="C350" s="110"/>
      <c r="D350" s="111"/>
      <c r="E350" s="58"/>
      <c r="F350" s="58"/>
      <c r="G350" s="27"/>
      <c r="H350" s="27"/>
      <c r="I350" s="27"/>
      <c r="J350" s="108">
        <v>20.1</v>
      </c>
      <c r="K350" s="32" t="s">
        <v>278</v>
      </c>
      <c r="L350" s="9"/>
      <c r="M350" s="9"/>
      <c r="N350" s="9"/>
      <c r="O350" s="9"/>
      <c r="P350" s="9"/>
      <c r="Q350" s="9"/>
      <c r="R350" s="9"/>
      <c r="S350" s="9"/>
    </row>
    <row r="351" spans="1:19" ht="12.75">
      <c r="A351" s="47"/>
      <c r="B351" s="114" t="s">
        <v>185</v>
      </c>
      <c r="C351" s="110"/>
      <c r="D351" s="111"/>
      <c r="E351" s="47"/>
      <c r="F351" s="47"/>
      <c r="G351" s="47"/>
      <c r="H351" s="47"/>
      <c r="I351" s="47"/>
      <c r="J351" s="109">
        <v>3</v>
      </c>
      <c r="K351" s="32" t="s">
        <v>309</v>
      </c>
      <c r="L351" s="9"/>
      <c r="M351" s="9"/>
      <c r="N351" s="9"/>
      <c r="O351" s="9"/>
      <c r="P351" s="9"/>
      <c r="Q351" s="9"/>
      <c r="R351" s="9"/>
      <c r="S351" s="9"/>
    </row>
    <row r="352" spans="1:19" ht="12.75">
      <c r="A352" s="59"/>
      <c r="B352" s="114" t="s">
        <v>76</v>
      </c>
      <c r="C352" s="110"/>
      <c r="D352" s="111"/>
      <c r="E352" s="47"/>
      <c r="F352" s="47"/>
      <c r="G352" s="60"/>
      <c r="H352" s="60"/>
      <c r="I352" s="60"/>
      <c r="J352" s="107">
        <v>1</v>
      </c>
      <c r="K352" s="32" t="s">
        <v>309</v>
      </c>
      <c r="L352" s="9"/>
      <c r="M352" s="9"/>
      <c r="N352" s="9"/>
      <c r="O352" s="9"/>
      <c r="P352" s="9"/>
      <c r="Q352" s="9"/>
      <c r="R352" s="9"/>
      <c r="S352" s="9"/>
    </row>
    <row r="353" spans="1:19" ht="12.75">
      <c r="A353" s="27"/>
      <c r="B353" s="114" t="s">
        <v>77</v>
      </c>
      <c r="C353" s="110"/>
      <c r="D353" s="111"/>
      <c r="E353" s="27"/>
      <c r="F353" s="27"/>
      <c r="J353" s="63">
        <v>1</v>
      </c>
      <c r="K353" s="32" t="s">
        <v>309</v>
      </c>
      <c r="L353" s="9"/>
      <c r="M353" s="9"/>
      <c r="N353" s="9"/>
      <c r="O353" s="9"/>
      <c r="P353" s="9"/>
      <c r="Q353" s="9"/>
      <c r="R353" s="9"/>
      <c r="S353" s="9"/>
    </row>
    <row r="354" spans="1:19" ht="12.75">
      <c r="A354" s="9"/>
      <c r="B354" s="114" t="s">
        <v>78</v>
      </c>
      <c r="C354" s="110"/>
      <c r="D354" s="111"/>
      <c r="E354" s="9"/>
      <c r="F354" s="9"/>
      <c r="G354" s="9"/>
      <c r="H354" s="9"/>
      <c r="I354" s="9"/>
      <c r="J354" s="33">
        <v>3</v>
      </c>
      <c r="K354" s="32" t="s">
        <v>309</v>
      </c>
      <c r="L354" s="9"/>
      <c r="M354" s="9"/>
      <c r="N354" s="9"/>
      <c r="O354" s="9"/>
      <c r="P354" s="9"/>
      <c r="Q354" s="9"/>
      <c r="R354" s="9"/>
      <c r="S354" s="9"/>
    </row>
    <row r="355" spans="1:19" ht="12.75">
      <c r="A355" s="9"/>
      <c r="B355" s="114" t="s">
        <v>79</v>
      </c>
      <c r="C355" s="110"/>
      <c r="D355" s="111"/>
      <c r="E355" s="9"/>
      <c r="F355" s="9"/>
      <c r="G355" s="9"/>
      <c r="H355" s="9"/>
      <c r="I355" s="9"/>
      <c r="J355" s="33">
        <v>7</v>
      </c>
      <c r="K355" s="32" t="s">
        <v>309</v>
      </c>
      <c r="L355" s="9"/>
      <c r="M355" s="9"/>
      <c r="N355" s="9"/>
      <c r="O355" s="9"/>
      <c r="P355" s="9"/>
      <c r="Q355" s="9"/>
      <c r="R355" s="9"/>
      <c r="S355" s="9"/>
    </row>
    <row r="356" spans="1:19" ht="12.75">
      <c r="A356" s="9"/>
      <c r="B356" s="114" t="s">
        <v>80</v>
      </c>
      <c r="C356" s="110"/>
      <c r="D356" s="111"/>
      <c r="E356" s="9"/>
      <c r="F356" s="9"/>
      <c r="G356" s="9"/>
      <c r="H356" s="9"/>
      <c r="I356" s="9"/>
      <c r="J356" s="33">
        <v>15</v>
      </c>
      <c r="K356" s="32" t="s">
        <v>309</v>
      </c>
      <c r="L356" s="9"/>
      <c r="M356" s="9"/>
      <c r="N356" s="9"/>
      <c r="O356" s="9"/>
      <c r="P356" s="9"/>
      <c r="Q356" s="9"/>
      <c r="R356" s="9"/>
      <c r="S356" s="9"/>
    </row>
    <row r="357" spans="1:19" ht="12.75">
      <c r="A357" s="9"/>
      <c r="B357" s="112" t="s">
        <v>81</v>
      </c>
      <c r="C357" s="110"/>
      <c r="D357" s="111"/>
      <c r="E357" s="9"/>
      <c r="F357" s="9"/>
      <c r="G357" s="9"/>
      <c r="H357" s="9"/>
      <c r="I357" s="9"/>
      <c r="J357" s="33">
        <v>4</v>
      </c>
      <c r="K357" s="32" t="s">
        <v>309</v>
      </c>
      <c r="L357" s="9"/>
      <c r="M357" s="9"/>
      <c r="N357" s="9"/>
      <c r="O357" s="9"/>
      <c r="P357" s="9"/>
      <c r="Q357" s="9"/>
      <c r="R357" s="9"/>
      <c r="S357" s="9"/>
    </row>
    <row r="358" spans="1:19" ht="12.75">
      <c r="A358" s="9"/>
      <c r="B358" s="112" t="s">
        <v>82</v>
      </c>
      <c r="C358" s="110"/>
      <c r="D358" s="111"/>
      <c r="E358" s="9"/>
      <c r="F358" s="9"/>
      <c r="G358" s="9"/>
      <c r="H358" s="9"/>
      <c r="I358" s="9"/>
      <c r="J358" s="33">
        <v>2</v>
      </c>
      <c r="K358" s="32" t="s">
        <v>309</v>
      </c>
      <c r="L358" s="9"/>
      <c r="M358" s="9"/>
      <c r="N358" s="9"/>
      <c r="O358" s="9"/>
      <c r="P358" s="9"/>
      <c r="Q358" s="9"/>
      <c r="R358" s="9"/>
      <c r="S358" s="9"/>
    </row>
    <row r="359" spans="1:19" ht="12.75">
      <c r="A359" s="9"/>
      <c r="B359" s="112" t="s">
        <v>83</v>
      </c>
      <c r="C359" s="110"/>
      <c r="D359" s="111"/>
      <c r="E359" s="9"/>
      <c r="F359" s="9"/>
      <c r="G359" s="9"/>
      <c r="H359" s="9"/>
      <c r="I359" s="9"/>
      <c r="J359" s="33">
        <v>9</v>
      </c>
      <c r="K359" s="32" t="s">
        <v>309</v>
      </c>
      <c r="L359" s="9"/>
      <c r="M359" s="9"/>
      <c r="N359" s="9"/>
      <c r="O359" s="9"/>
      <c r="P359" s="9"/>
      <c r="Q359" s="9"/>
      <c r="R359" s="9"/>
      <c r="S359" s="9"/>
    </row>
    <row r="360" spans="1:19" ht="12.75">
      <c r="A360" s="9"/>
      <c r="B360" s="112" t="s">
        <v>84</v>
      </c>
      <c r="C360" s="110"/>
      <c r="D360" s="111"/>
      <c r="E360" s="9"/>
      <c r="F360" s="9"/>
      <c r="G360" s="9"/>
      <c r="H360" s="9"/>
      <c r="I360" s="9"/>
      <c r="J360" s="33">
        <v>6</v>
      </c>
      <c r="K360" s="32" t="s">
        <v>309</v>
      </c>
      <c r="L360" s="9"/>
      <c r="M360" s="9"/>
      <c r="N360" s="9"/>
      <c r="O360" s="9"/>
      <c r="P360" s="9"/>
      <c r="Q360" s="9"/>
      <c r="R360" s="9"/>
      <c r="S360" s="9"/>
    </row>
    <row r="361" spans="1:19" ht="12.75">
      <c r="A361" s="9"/>
      <c r="B361" s="112" t="s">
        <v>194</v>
      </c>
      <c r="C361" s="110"/>
      <c r="D361" s="111"/>
      <c r="E361" s="9"/>
      <c r="F361" s="9"/>
      <c r="G361" s="9"/>
      <c r="H361" s="9"/>
      <c r="I361" s="9"/>
      <c r="J361" s="33">
        <v>38</v>
      </c>
      <c r="K361" s="32" t="s">
        <v>309</v>
      </c>
      <c r="L361" s="9"/>
      <c r="M361" s="9"/>
      <c r="N361" s="9"/>
      <c r="O361" s="9"/>
      <c r="P361" s="9"/>
      <c r="Q361" s="9"/>
      <c r="R361" s="9"/>
      <c r="S361" s="9"/>
    </row>
    <row r="362" spans="1:19" ht="12.75">
      <c r="A362" s="9"/>
      <c r="B362" s="112" t="s">
        <v>195</v>
      </c>
      <c r="C362" s="110"/>
      <c r="D362" s="111"/>
      <c r="E362" s="9"/>
      <c r="F362" s="9"/>
      <c r="G362" s="9"/>
      <c r="H362" s="9"/>
      <c r="I362" s="9"/>
      <c r="J362" s="33">
        <v>30</v>
      </c>
      <c r="K362" s="32" t="s">
        <v>309</v>
      </c>
      <c r="L362" s="9"/>
      <c r="M362" s="9"/>
      <c r="N362" s="9"/>
      <c r="O362" s="9"/>
      <c r="P362" s="9"/>
      <c r="Q362" s="9"/>
      <c r="R362" s="9"/>
      <c r="S362" s="9"/>
    </row>
    <row r="363" spans="1:19" ht="12.75">
      <c r="A363" s="9"/>
      <c r="B363" s="112" t="s">
        <v>196</v>
      </c>
      <c r="C363" s="110"/>
      <c r="D363" s="111"/>
      <c r="E363" s="9"/>
      <c r="F363" s="9"/>
      <c r="G363" s="9"/>
      <c r="H363" s="9"/>
      <c r="I363" s="9"/>
      <c r="J363" s="33">
        <v>15</v>
      </c>
      <c r="K363" s="32" t="s">
        <v>309</v>
      </c>
      <c r="L363" s="9"/>
      <c r="M363" s="9"/>
      <c r="N363" s="9"/>
      <c r="O363" s="9"/>
      <c r="P363" s="9"/>
      <c r="Q363" s="9"/>
      <c r="R363" s="9"/>
      <c r="S363" s="9"/>
    </row>
    <row r="364" spans="1:19" ht="12.75">
      <c r="A364" s="9"/>
      <c r="B364" s="112" t="s">
        <v>85</v>
      </c>
      <c r="C364" s="110"/>
      <c r="D364" s="111"/>
      <c r="E364" s="9"/>
      <c r="F364" s="9"/>
      <c r="G364" s="9"/>
      <c r="H364" s="9"/>
      <c r="I364" s="9"/>
      <c r="J364" s="33">
        <v>9</v>
      </c>
      <c r="K364" s="32" t="s">
        <v>309</v>
      </c>
      <c r="L364" s="9"/>
      <c r="M364" s="9"/>
      <c r="N364" s="9"/>
      <c r="O364" s="9"/>
      <c r="P364" s="9"/>
      <c r="Q364" s="9"/>
      <c r="R364" s="9"/>
      <c r="S364" s="9"/>
    </row>
    <row r="365" spans="1:19" ht="12.75">
      <c r="A365" s="9"/>
      <c r="B365" s="112" t="s">
        <v>86</v>
      </c>
      <c r="C365" s="110"/>
      <c r="D365" s="111"/>
      <c r="E365" s="9"/>
      <c r="F365" s="9"/>
      <c r="G365" s="9"/>
      <c r="H365" s="9"/>
      <c r="I365" s="9"/>
      <c r="J365" s="33">
        <v>1</v>
      </c>
      <c r="K365" s="32" t="s">
        <v>309</v>
      </c>
      <c r="L365" s="9"/>
      <c r="M365" s="9"/>
      <c r="N365" s="9"/>
      <c r="O365" s="9"/>
      <c r="P365" s="9"/>
      <c r="Q365" s="9"/>
      <c r="R365" s="9"/>
      <c r="S365" s="9"/>
    </row>
    <row r="366" spans="1:19" ht="21.75" customHeight="1">
      <c r="A366" s="9"/>
      <c r="B366" s="558" t="s">
        <v>87</v>
      </c>
      <c r="C366" s="558"/>
      <c r="D366" s="558"/>
      <c r="E366" s="558"/>
      <c r="F366" s="558"/>
      <c r="G366" s="9"/>
      <c r="H366" s="9"/>
      <c r="I366" s="9"/>
      <c r="J366" s="33">
        <v>2</v>
      </c>
      <c r="K366" s="32" t="s">
        <v>309</v>
      </c>
      <c r="L366" s="9"/>
      <c r="M366" s="9"/>
      <c r="N366" s="9"/>
      <c r="O366" s="9"/>
      <c r="P366" s="9"/>
      <c r="Q366" s="9"/>
      <c r="R366" s="9"/>
      <c r="S366" s="9"/>
    </row>
    <row r="367" spans="1:19" ht="12.75">
      <c r="A367" s="9"/>
      <c r="B367" s="112" t="s">
        <v>88</v>
      </c>
      <c r="C367" s="110"/>
      <c r="D367" s="111"/>
      <c r="E367" s="9"/>
      <c r="F367" s="9"/>
      <c r="G367" s="9"/>
      <c r="H367" s="9"/>
      <c r="I367" s="9"/>
      <c r="J367" s="33">
        <v>16</v>
      </c>
      <c r="K367" s="32" t="s">
        <v>309</v>
      </c>
      <c r="L367" s="9"/>
      <c r="M367" s="9"/>
      <c r="N367" s="9"/>
      <c r="O367" s="9"/>
      <c r="P367" s="9"/>
      <c r="Q367" s="9"/>
      <c r="R367" s="9"/>
      <c r="S367" s="9"/>
    </row>
    <row r="368" spans="1:19" ht="12.75">
      <c r="A368" s="9"/>
      <c r="B368" s="112" t="s">
        <v>89</v>
      </c>
      <c r="C368" s="110"/>
      <c r="D368" s="111"/>
      <c r="E368" s="9"/>
      <c r="F368" s="9"/>
      <c r="G368" s="9"/>
      <c r="H368" s="9"/>
      <c r="I368" s="9"/>
      <c r="J368" s="33">
        <v>330</v>
      </c>
      <c r="K368" s="32" t="s">
        <v>278</v>
      </c>
      <c r="M368" s="9"/>
      <c r="N368" s="9"/>
      <c r="O368" s="9"/>
      <c r="P368" s="9"/>
      <c r="Q368" s="9"/>
      <c r="R368" s="9"/>
      <c r="S368" s="9"/>
    </row>
    <row r="369" spans="1:19" ht="12.75">
      <c r="A369" s="9"/>
      <c r="B369" s="112" t="s">
        <v>90</v>
      </c>
      <c r="C369" s="110"/>
      <c r="D369" s="111"/>
      <c r="E369" s="9"/>
      <c r="F369" s="9"/>
      <c r="G369" s="9"/>
      <c r="H369" s="9"/>
      <c r="I369" s="9"/>
      <c r="J369" s="33">
        <v>330</v>
      </c>
      <c r="K369" s="32" t="s">
        <v>278</v>
      </c>
      <c r="M369" s="9"/>
      <c r="N369" s="9"/>
      <c r="O369" s="9"/>
      <c r="P369" s="9"/>
      <c r="Q369" s="9"/>
      <c r="R369" s="9"/>
      <c r="S369" s="9"/>
    </row>
    <row r="370" spans="1:19" ht="12.75">
      <c r="A370" s="9"/>
      <c r="B370" s="112" t="s">
        <v>91</v>
      </c>
      <c r="C370" s="110"/>
      <c r="D370" s="111"/>
      <c r="E370" s="9"/>
      <c r="F370" s="9"/>
      <c r="G370" s="9"/>
      <c r="H370" s="9"/>
      <c r="I370" s="9"/>
      <c r="J370" s="33">
        <v>40</v>
      </c>
      <c r="K370" s="32" t="s">
        <v>278</v>
      </c>
      <c r="M370" s="9"/>
      <c r="N370" s="9"/>
      <c r="O370" s="9"/>
      <c r="P370" s="9"/>
      <c r="Q370" s="9"/>
      <c r="R370" s="9"/>
      <c r="S370" s="9"/>
    </row>
    <row r="371" spans="1:19" ht="12.75">
      <c r="A371" s="9"/>
      <c r="B371" s="112" t="s">
        <v>205</v>
      </c>
      <c r="C371" s="110"/>
      <c r="D371" s="113"/>
      <c r="E371" s="9"/>
      <c r="F371" s="9"/>
      <c r="G371" s="9"/>
      <c r="H371" s="9"/>
      <c r="I371" s="9"/>
      <c r="J371" s="33">
        <v>14.68</v>
      </c>
      <c r="K371" s="32" t="s">
        <v>278</v>
      </c>
      <c r="M371" s="9"/>
      <c r="N371" s="9"/>
      <c r="O371" s="9"/>
      <c r="P371" s="9"/>
      <c r="Q371" s="9"/>
      <c r="R371" s="9"/>
      <c r="S371" s="9"/>
    </row>
    <row r="372" spans="1:19" ht="12.75">
      <c r="A372" s="9"/>
      <c r="B372" s="558" t="s">
        <v>92</v>
      </c>
      <c r="C372" s="558"/>
      <c r="D372" s="558"/>
      <c r="E372" s="558"/>
      <c r="F372" s="558"/>
      <c r="G372" s="558"/>
      <c r="H372" s="9"/>
      <c r="I372" s="9"/>
      <c r="J372" s="33">
        <v>14</v>
      </c>
      <c r="K372" s="32" t="s">
        <v>309</v>
      </c>
      <c r="M372" s="9"/>
      <c r="N372" s="9"/>
      <c r="O372" s="9"/>
      <c r="P372" s="9"/>
      <c r="Q372" s="9"/>
      <c r="R372" s="9"/>
      <c r="S372" s="9"/>
    </row>
    <row r="373" spans="1:19" ht="12.75">
      <c r="A373" s="9"/>
      <c r="B373" s="112" t="s">
        <v>93</v>
      </c>
      <c r="C373" s="110"/>
      <c r="D373" s="113"/>
      <c r="E373" s="9"/>
      <c r="F373" s="9"/>
      <c r="G373" s="9"/>
      <c r="H373" s="9"/>
      <c r="I373" s="9"/>
      <c r="J373" s="33">
        <v>10</v>
      </c>
      <c r="K373" s="32" t="s">
        <v>309</v>
      </c>
      <c r="M373" s="9"/>
      <c r="N373" s="9"/>
      <c r="O373" s="9"/>
      <c r="P373" s="9"/>
      <c r="Q373" s="9"/>
      <c r="R373" s="9"/>
      <c r="S373" s="9"/>
    </row>
    <row r="374" spans="1:19" ht="8.25" customHeight="1">
      <c r="A374" s="9"/>
      <c r="B374" s="9"/>
      <c r="C374" s="9"/>
      <c r="D374" s="9"/>
      <c r="E374" s="9"/>
      <c r="F374" s="9"/>
      <c r="G374" s="9"/>
      <c r="H374" s="9"/>
      <c r="I374" s="9"/>
      <c r="J374" s="33"/>
      <c r="K374" s="32"/>
      <c r="M374" s="9"/>
      <c r="N374" s="9"/>
      <c r="O374" s="9"/>
      <c r="P374" s="9"/>
      <c r="Q374" s="9"/>
      <c r="R374" s="9"/>
      <c r="S374" s="9"/>
    </row>
    <row r="375" spans="1:19" ht="12.75">
      <c r="A375" s="9"/>
      <c r="B375" s="9"/>
      <c r="C375" s="9"/>
      <c r="D375" s="9"/>
      <c r="E375" s="9"/>
      <c r="F375" s="9"/>
      <c r="G375" s="9"/>
      <c r="H375" s="9"/>
      <c r="I375" s="9"/>
      <c r="J375" s="31"/>
      <c r="K375" s="9"/>
      <c r="M375" s="9"/>
      <c r="N375" s="9"/>
      <c r="O375" s="9"/>
      <c r="P375" s="9"/>
      <c r="Q375" s="9"/>
      <c r="R375" s="9"/>
      <c r="S375" s="9"/>
    </row>
    <row r="376" spans="1:19" ht="12.75">
      <c r="A376" s="559" t="s">
        <v>696</v>
      </c>
      <c r="B376" s="559"/>
      <c r="C376" s="9"/>
      <c r="D376" s="9"/>
      <c r="E376" s="9"/>
      <c r="F376" s="9"/>
      <c r="G376" s="9"/>
      <c r="H376" s="9"/>
      <c r="I376" s="9"/>
      <c r="J376" s="33"/>
      <c r="K376" s="32"/>
      <c r="M376" s="9"/>
      <c r="N376" s="9"/>
      <c r="O376" s="9"/>
      <c r="P376" s="9"/>
      <c r="Q376" s="9"/>
      <c r="R376" s="9"/>
      <c r="S376" s="9"/>
    </row>
    <row r="377" spans="1:19" ht="12.75">
      <c r="A377" s="15"/>
      <c r="B377" s="9"/>
      <c r="C377" s="9"/>
      <c r="D377" s="9"/>
      <c r="E377" s="9"/>
      <c r="F377" s="9"/>
      <c r="G377" s="9"/>
      <c r="H377" s="9"/>
      <c r="I377" s="9"/>
      <c r="J377" s="33"/>
      <c r="K377" s="32"/>
      <c r="M377" s="9"/>
      <c r="N377" s="9"/>
      <c r="O377" s="9"/>
      <c r="P377" s="9"/>
      <c r="Q377" s="9"/>
      <c r="R377" s="9"/>
      <c r="S377" s="9"/>
    </row>
    <row r="378" spans="1:19" ht="12.75">
      <c r="A378" s="9"/>
      <c r="B378" s="9"/>
      <c r="C378" s="9"/>
      <c r="D378" s="9"/>
      <c r="E378" s="9"/>
      <c r="F378" s="9"/>
      <c r="G378" s="9"/>
      <c r="H378" s="9"/>
      <c r="I378" s="9"/>
      <c r="J378" s="33"/>
      <c r="K378" s="32"/>
      <c r="M378" s="9"/>
      <c r="N378" s="9"/>
      <c r="O378" s="9"/>
      <c r="P378" s="9"/>
      <c r="Q378" s="9"/>
      <c r="R378" s="9"/>
      <c r="S378" s="9"/>
    </row>
    <row r="379" spans="1:19" ht="12.75">
      <c r="A379" s="9"/>
      <c r="B379" s="489" t="s">
        <v>704</v>
      </c>
      <c r="C379" s="438"/>
      <c r="D379" s="438"/>
      <c r="E379" s="438"/>
      <c r="F379" s="438"/>
      <c r="G379" s="438"/>
      <c r="H379" s="9"/>
      <c r="I379" s="9"/>
      <c r="J379" s="33"/>
      <c r="K379" s="32"/>
      <c r="M379" s="9"/>
      <c r="N379" s="9"/>
      <c r="O379" s="9"/>
      <c r="P379" s="9"/>
      <c r="Q379" s="9"/>
      <c r="R379" s="9"/>
      <c r="S379" s="9"/>
    </row>
    <row r="380" spans="1:19" ht="12.75">
      <c r="A380" s="9"/>
      <c r="B380" s="489" t="s">
        <v>705</v>
      </c>
      <c r="C380" s="438"/>
      <c r="D380" s="438"/>
      <c r="E380" s="438"/>
      <c r="F380" s="438"/>
      <c r="G380" s="438"/>
      <c r="H380" s="9"/>
      <c r="I380" s="9"/>
      <c r="J380" s="31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>
      <c r="A381" s="9"/>
      <c r="B381" s="9"/>
      <c r="C381" s="9"/>
      <c r="D381" s="9"/>
      <c r="E381" s="9"/>
      <c r="F381" s="9"/>
      <c r="G381" s="9"/>
      <c r="H381" s="9"/>
      <c r="I381" s="9"/>
      <c r="J381" s="31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>
      <c r="A382" s="9"/>
      <c r="B382" s="9"/>
      <c r="C382" s="9"/>
      <c r="D382" s="9"/>
      <c r="E382" s="9"/>
      <c r="F382" s="9"/>
      <c r="G382" s="9"/>
      <c r="H382" s="9"/>
      <c r="I382" s="9"/>
      <c r="J382" s="31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>
      <c r="A383" s="9"/>
      <c r="B383" s="9"/>
      <c r="C383" s="9"/>
      <c r="D383" s="9"/>
      <c r="E383" s="9"/>
      <c r="F383" s="9"/>
      <c r="G383" s="9"/>
      <c r="H383" s="9"/>
      <c r="I383" s="9"/>
      <c r="J383" s="31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>
      <c r="A384" s="9"/>
      <c r="B384" s="9"/>
      <c r="C384" s="9"/>
      <c r="D384" s="9"/>
      <c r="E384" s="9"/>
      <c r="F384" s="9"/>
      <c r="G384" s="9"/>
      <c r="H384" s="9"/>
      <c r="I384" s="9"/>
      <c r="J384" s="33"/>
      <c r="K384" s="32"/>
      <c r="L384" s="9"/>
      <c r="M384" s="9"/>
      <c r="N384" s="9"/>
      <c r="O384" s="9"/>
      <c r="P384" s="9"/>
      <c r="Q384" s="9"/>
      <c r="R384" s="9"/>
      <c r="S384" s="9"/>
    </row>
    <row r="385" spans="1:19" ht="12.75">
      <c r="A385" s="9"/>
      <c r="B385" s="9"/>
      <c r="C385" s="9"/>
      <c r="D385" s="9"/>
      <c r="E385" s="9"/>
      <c r="F385" s="9"/>
      <c r="G385" s="9"/>
      <c r="H385" s="9"/>
      <c r="I385" s="9"/>
      <c r="J385" s="33"/>
      <c r="K385" s="32"/>
      <c r="L385" s="9"/>
      <c r="M385" s="9"/>
      <c r="N385" s="9"/>
      <c r="O385" s="9"/>
      <c r="P385" s="9"/>
      <c r="Q385" s="9"/>
      <c r="R385" s="9"/>
      <c r="S385" s="9"/>
    </row>
    <row r="386" spans="1:19" ht="12.75">
      <c r="A386" s="9"/>
      <c r="B386" s="9"/>
      <c r="C386" s="9"/>
      <c r="D386" s="9"/>
      <c r="E386" s="9"/>
      <c r="F386" s="9"/>
      <c r="G386" s="9"/>
      <c r="H386" s="9"/>
      <c r="I386" s="9"/>
      <c r="J386" s="31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>
      <c r="A387" s="9"/>
      <c r="B387" s="9"/>
      <c r="C387" s="9"/>
      <c r="D387" s="9"/>
      <c r="E387" s="9"/>
      <c r="F387" s="9"/>
      <c r="G387" s="9"/>
      <c r="H387" s="9"/>
      <c r="I387" s="9"/>
      <c r="J387" s="31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>
      <c r="A388" s="9"/>
      <c r="B388" s="9"/>
      <c r="C388" s="9"/>
      <c r="D388" s="9"/>
      <c r="E388" s="9"/>
      <c r="F388" s="9"/>
      <c r="G388" s="9"/>
      <c r="H388" s="9"/>
      <c r="I388" s="9"/>
      <c r="J388" s="31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>
      <c r="A389" s="9"/>
      <c r="B389" s="9"/>
      <c r="C389" s="9"/>
      <c r="D389" s="9"/>
      <c r="E389" s="9"/>
      <c r="F389" s="9"/>
      <c r="G389" s="9"/>
      <c r="H389" s="9"/>
      <c r="I389" s="9"/>
      <c r="J389" s="31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>
      <c r="A390" s="9"/>
      <c r="B390" s="9"/>
      <c r="C390" s="9"/>
      <c r="D390" s="9"/>
      <c r="E390" s="9"/>
      <c r="F390" s="9"/>
      <c r="G390" s="9"/>
      <c r="H390" s="9"/>
      <c r="I390" s="9"/>
      <c r="J390" s="31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>
      <c r="A391" s="9"/>
      <c r="B391" s="9"/>
      <c r="C391" s="9"/>
      <c r="D391" s="9"/>
      <c r="G391" s="9"/>
      <c r="H391" s="9"/>
      <c r="I391" s="9"/>
      <c r="J391" s="31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>
      <c r="A392" s="9"/>
      <c r="B392" s="9"/>
      <c r="C392" s="9"/>
      <c r="D392" s="9"/>
      <c r="G392" s="9"/>
      <c r="H392" s="9"/>
      <c r="I392" s="9"/>
      <c r="J392" s="31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>
      <c r="A393" s="9"/>
      <c r="B393" s="9"/>
      <c r="C393" s="9"/>
      <c r="D393" s="9"/>
      <c r="G393" s="9"/>
      <c r="H393" s="9"/>
      <c r="I393" s="9"/>
      <c r="J393" s="31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>
      <c r="A394" s="9"/>
      <c r="B394" s="9"/>
      <c r="C394" s="9"/>
      <c r="D394" s="9"/>
      <c r="G394" s="9"/>
      <c r="H394" s="9"/>
      <c r="I394" s="9"/>
      <c r="J394" s="31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>
      <c r="A395" s="9"/>
      <c r="B395" s="9"/>
      <c r="C395" s="9"/>
      <c r="D395" s="9"/>
      <c r="G395" s="9"/>
      <c r="H395" s="9"/>
      <c r="I395" s="9"/>
      <c r="J395" s="31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>
      <c r="A396" s="9"/>
      <c r="B396" s="9"/>
      <c r="C396" s="9"/>
      <c r="D396" s="9"/>
      <c r="G396" s="9"/>
      <c r="H396" s="9"/>
      <c r="I396" s="9"/>
      <c r="J396" s="31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>
      <c r="A397" s="9"/>
      <c r="B397" s="9"/>
      <c r="C397" s="9"/>
      <c r="D397" s="9"/>
      <c r="G397" s="9"/>
      <c r="H397" s="9"/>
      <c r="I397" s="9"/>
      <c r="J397" s="33"/>
      <c r="K397" s="32"/>
      <c r="L397" s="9"/>
      <c r="M397" s="9"/>
      <c r="N397" s="9"/>
      <c r="O397" s="9"/>
      <c r="P397" s="9"/>
      <c r="Q397" s="9"/>
      <c r="R397" s="9"/>
      <c r="S397" s="9"/>
    </row>
    <row r="398" spans="1:19" ht="12.75">
      <c r="A398" s="9"/>
      <c r="B398" s="9"/>
      <c r="C398" s="9"/>
      <c r="D398" s="9"/>
      <c r="G398" s="9"/>
      <c r="H398" s="9"/>
      <c r="I398" s="9"/>
      <c r="J398" s="31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>
      <c r="A399" s="9"/>
      <c r="B399" s="9"/>
      <c r="C399" s="9"/>
      <c r="D399" s="9"/>
      <c r="G399" s="9"/>
      <c r="H399" s="9"/>
      <c r="I399" s="9"/>
      <c r="J399" s="31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>
      <c r="A400" s="9"/>
      <c r="B400" s="9"/>
      <c r="C400" s="9"/>
      <c r="D400" s="9"/>
      <c r="G400" s="9"/>
      <c r="H400" s="9"/>
      <c r="I400" s="9"/>
      <c r="J400" s="31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>
      <c r="A401" s="9"/>
      <c r="B401" s="9"/>
      <c r="C401" s="9"/>
      <c r="D401" s="9"/>
      <c r="G401" s="9"/>
      <c r="H401" s="9"/>
      <c r="I401" s="9"/>
      <c r="J401" s="31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>
      <c r="A402" s="9"/>
      <c r="B402" s="9"/>
      <c r="C402" s="9"/>
      <c r="D402" s="9"/>
      <c r="G402" s="9"/>
      <c r="H402" s="9"/>
      <c r="I402" s="9"/>
      <c r="J402" s="31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9"/>
      <c r="B403" s="9"/>
      <c r="C403" s="9"/>
      <c r="D403" s="9"/>
      <c r="G403" s="9"/>
      <c r="H403" s="9"/>
      <c r="I403" s="9"/>
      <c r="J403" s="31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9"/>
      <c r="B404" s="9"/>
      <c r="C404" s="9"/>
      <c r="D404" s="9"/>
      <c r="G404" s="9"/>
      <c r="H404" s="9"/>
      <c r="I404" s="9"/>
      <c r="J404" s="31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>
      <c r="A405" s="9"/>
      <c r="B405" s="9"/>
      <c r="C405" s="9"/>
      <c r="D405" s="9"/>
      <c r="G405" s="9"/>
      <c r="H405" s="9"/>
      <c r="I405" s="9"/>
      <c r="J405" s="31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>
      <c r="A406" s="9"/>
      <c r="B406" s="9"/>
      <c r="C406" s="9"/>
      <c r="D406" s="9"/>
      <c r="G406" s="9"/>
      <c r="H406" s="9"/>
      <c r="I406" s="9"/>
      <c r="J406" s="31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>
      <c r="A407" s="9"/>
      <c r="B407" s="9"/>
      <c r="C407" s="9"/>
      <c r="D407" s="9"/>
      <c r="G407" s="9"/>
      <c r="H407" s="9"/>
      <c r="I407" s="9"/>
      <c r="J407" s="31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>
      <c r="A408" s="9"/>
      <c r="B408" s="9"/>
      <c r="C408" s="9"/>
      <c r="D408" s="9"/>
      <c r="G408" s="9"/>
      <c r="H408" s="9"/>
      <c r="I408" s="9"/>
      <c r="J408" s="31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>
      <c r="A409" s="9"/>
      <c r="B409" s="9"/>
      <c r="C409" s="9"/>
      <c r="D409" s="9"/>
      <c r="G409" s="9"/>
      <c r="H409" s="9"/>
      <c r="I409" s="9"/>
      <c r="J409" s="31"/>
      <c r="K409" s="9"/>
      <c r="L409" s="9"/>
      <c r="M409" s="9"/>
      <c r="N409" s="9"/>
      <c r="O409" s="9"/>
      <c r="P409" s="9"/>
      <c r="Q409" s="9"/>
      <c r="R409" s="9"/>
      <c r="S409" s="9"/>
    </row>
    <row r="410" spans="1:20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1:20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1:20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1:20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</sheetData>
  <sheetProtection/>
  <mergeCells count="12">
    <mergeCell ref="B379:G379"/>
    <mergeCell ref="B380:G380"/>
    <mergeCell ref="B366:F366"/>
    <mergeCell ref="B372:G372"/>
    <mergeCell ref="A376:B376"/>
    <mergeCell ref="A328:B328"/>
    <mergeCell ref="H7:I7"/>
    <mergeCell ref="J7:K7"/>
    <mergeCell ref="D7:E7"/>
    <mergeCell ref="F7:G7"/>
    <mergeCell ref="E6:G6"/>
    <mergeCell ref="A266:C266"/>
  </mergeCells>
  <printOptions/>
  <pageMargins left="0.3937007874015748" right="0.1968503937007874" top="0.15748031496062992" bottom="0.4724409448818898" header="0.2362204724409449" footer="0.11811023622047245"/>
  <pageSetup horizontalDpi="600" verticalDpi="600" orientation="portrait" paperSize="9" scale="8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Augusto Alves</dc:creator>
  <cp:keywords/>
  <dc:description/>
  <cp:lastModifiedBy>Rômulo Fernandes de Sousa</cp:lastModifiedBy>
  <cp:lastPrinted>2013-08-20T16:38:30Z</cp:lastPrinted>
  <dcterms:created xsi:type="dcterms:W3CDTF">2011-05-12T20:13:23Z</dcterms:created>
  <dcterms:modified xsi:type="dcterms:W3CDTF">2013-08-30T19:42:43Z</dcterms:modified>
  <cp:category/>
  <cp:version/>
  <cp:contentType/>
  <cp:contentStatus/>
</cp:coreProperties>
</file>