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61" firstSheet="1" activeTab="6"/>
  </bookViews>
  <sheets>
    <sheet name="PLANILHA DE CALCÚLO (muro)" sheetId="1" r:id="rId1"/>
    <sheet name="PLANILHA DE CALCÚLO (baias)" sheetId="2" r:id="rId2"/>
    <sheet name="PLANILHA DE CALCÚLO (usina)" sheetId="3" r:id="rId3"/>
    <sheet name="PLANILHA DE CALCÚLO (escritó..)" sheetId="4" r:id="rId4"/>
    <sheet name="COMPOSIÇÃO DE MERCADO" sheetId="5" r:id="rId5"/>
    <sheet name="MEMORIAL DE CÁLCULO" sheetId="6" r:id="rId6"/>
    <sheet name="PLANILHA ORÇAMENTÁRIA" sheetId="7" r:id="rId7"/>
    <sheet name="BDI" sheetId="8" r:id="rId8"/>
    <sheet name="CRONOGRAMA" sheetId="9" r:id="rId9"/>
  </sheets>
  <definedNames>
    <definedName name="_xlnm.Print_Area" localSheetId="7">'BDI'!$B$1:$H$24</definedName>
    <definedName name="_xlnm.Print_Area" localSheetId="4">'COMPOSIÇÃO DE MERCADO'!$A$1:$J$9</definedName>
    <definedName name="_xlnm.Print_Area" localSheetId="8">'CRONOGRAMA'!$B$1:$H$19</definedName>
    <definedName name="_xlnm.Print_Area" localSheetId="5">'MEMORIAL DE CÁLCULO'!$A$1:$H$246</definedName>
    <definedName name="_xlnm.Print_Area" localSheetId="1">'PLANILHA DE CALCÚLO (baias)'!$A$1:$L$40</definedName>
    <definedName name="_xlnm.Print_Area" localSheetId="3">'PLANILHA DE CALCÚLO (escritó..)'!$A$1:$L$30</definedName>
    <definedName name="_xlnm.Print_Area" localSheetId="0">'PLANILHA DE CALCÚLO (muro)'!$A$1:$L$40</definedName>
    <definedName name="_xlnm.Print_Area" localSheetId="2">'PLANILHA DE CALCÚLO (usina)'!$A$1:$L$38</definedName>
    <definedName name="_xlnm.Print_Area" localSheetId="6">'PLANILHA ORÇAMENTÁRIA'!$B$1:$J$207</definedName>
    <definedName name="_xlnm.Print_Titles" localSheetId="5">'MEMORIAL DE CÁLCULO'!$1:$6</definedName>
    <definedName name="_xlnm.Print_Titles" localSheetId="6">'PLANILHA ORÇAMENTÁRIA'!$1:$9</definedName>
  </definedNames>
  <calcPr fullCalcOnLoad="1" fullPrecision="0"/>
</workbook>
</file>

<file path=xl/sharedStrings.xml><?xml version="1.0" encoding="utf-8"?>
<sst xmlns="http://schemas.openxmlformats.org/spreadsheetml/2006/main" count="1680" uniqueCount="494">
  <si>
    <t>ITEM</t>
  </si>
  <si>
    <t>DESCRIÇÃO</t>
  </si>
  <si>
    <t>QUANTIDADE</t>
  </si>
  <si>
    <t>UNIDADE</t>
  </si>
  <si>
    <t>PLANILHA ORÇAMENTÁRIA DE CUSTOS</t>
  </si>
  <si>
    <t>CÓDIGO</t>
  </si>
  <si>
    <t>PREÇO TOTAL</t>
  </si>
  <si>
    <t>1.1</t>
  </si>
  <si>
    <t>m²</t>
  </si>
  <si>
    <t>PLANILHA MEMORIAL DE CÁLCULO</t>
  </si>
  <si>
    <t>MEMÓRIA DE CÁLCULO</t>
  </si>
  <si>
    <t>m</t>
  </si>
  <si>
    <t>m³</t>
  </si>
  <si>
    <t>CRONOGRAMA FÍSICO-FINANCEIRO</t>
  </si>
  <si>
    <t>ETAPAS/DESCRIÇÃO</t>
  </si>
  <si>
    <t>FÍSICO/ FINANCEIRO</t>
  </si>
  <si>
    <t>TOTAL  ETAPAS</t>
  </si>
  <si>
    <t>MÊS 2</t>
  </si>
  <si>
    <t>Físico %</t>
  </si>
  <si>
    <t>Financeiro</t>
  </si>
  <si>
    <t>TOTAL</t>
  </si>
  <si>
    <t>SINAPI</t>
  </si>
  <si>
    <t>FONTE</t>
  </si>
  <si>
    <t>R.T:</t>
  </si>
  <si>
    <t>BDI:</t>
  </si>
  <si>
    <t>PREÇO UNITÁRIO      S/ BDI</t>
  </si>
  <si>
    <t>PREÇO UNITÁRIO         C/ BDI</t>
  </si>
  <si>
    <t>COMPOSIÇÃO DE BDI</t>
  </si>
  <si>
    <t xml:space="preserve">DATA: </t>
  </si>
  <si>
    <t>AC</t>
  </si>
  <si>
    <t>R</t>
  </si>
  <si>
    <t>DF</t>
  </si>
  <si>
    <t>L</t>
  </si>
  <si>
    <t>PIS</t>
  </si>
  <si>
    <t>COFINS</t>
  </si>
  <si>
    <t>ISSQN (Aliquota x %Base de cálculo)</t>
  </si>
  <si>
    <t>CPRB</t>
  </si>
  <si>
    <t>Administração Central</t>
  </si>
  <si>
    <t>Seguro e Garantia</t>
  </si>
  <si>
    <t>Risco</t>
  </si>
  <si>
    <t>Despesas Financeiras</t>
  </si>
  <si>
    <t>Lucro</t>
  </si>
  <si>
    <t>SG</t>
  </si>
  <si>
    <t>Os valores de BDI foram calculados com o emprego da fórmula abaixo:</t>
  </si>
  <si>
    <t>SIGLAS</t>
  </si>
  <si>
    <t>ITENS</t>
  </si>
  <si>
    <t>PERCENTUAIS ADOTADO</t>
  </si>
  <si>
    <t>MÍNIMO</t>
  </si>
  <si>
    <t>MÁXIMO</t>
  </si>
  <si>
    <t>I</t>
  </si>
  <si>
    <t>Variável</t>
  </si>
  <si>
    <t>BDI conforme Acórdão 2622/2013 - TCU</t>
  </si>
  <si>
    <t>BDI RESULTANTE</t>
  </si>
  <si>
    <t>Tribrutos</t>
  </si>
  <si>
    <t>De acordo com o Acórdão 2622/2013-TCU.</t>
  </si>
  <si>
    <t>SERVIÇOS PRELIMINARES</t>
  </si>
  <si>
    <t>2.1</t>
  </si>
  <si>
    <t>2.2</t>
  </si>
  <si>
    <t>2.3</t>
  </si>
  <si>
    <t>3.2</t>
  </si>
  <si>
    <t>SETOP</t>
  </si>
  <si>
    <t>SINAPI - I</t>
  </si>
  <si>
    <t>und</t>
  </si>
  <si>
    <t>MÊS 1</t>
  </si>
  <si>
    <t>MÊS 3</t>
  </si>
  <si>
    <t>VALOR TOTAL DA OBRA</t>
  </si>
  <si>
    <t>VALOR VALOR DA OBRA</t>
  </si>
  <si>
    <t>PLACA DE OBRA (PARA CONSTRUCAO CIVIL) EM CHAPA GALVANIZADA *N. 22*, ADESIVADA, DE *2,0 X 1,125* M</t>
  </si>
  <si>
    <t>1.2</t>
  </si>
  <si>
    <t>LOCACAO CONVENCIONAL DE OBRA, UTILIZANDO GABARITO DE TÁBUAS CORRIDAS PONTALETADAS A CADA 2,00M - 2 UTILIZAÇÕES. AF_10/2018</t>
  </si>
  <si>
    <t>RO-40211</t>
  </si>
  <si>
    <t>ESCAVAÇÃO MANUAL DE VALAS EM SOLO, COM ALTURA DE 0 A 1,50 M</t>
  </si>
  <si>
    <t>SAPATAS</t>
  </si>
  <si>
    <t>APILOAMENTO DE FUNDO DE VALAS</t>
  </si>
  <si>
    <t>RO-40239</t>
  </si>
  <si>
    <t>2.4</t>
  </si>
  <si>
    <t>2.5</t>
  </si>
  <si>
    <t xml:space="preserve">96617 </t>
  </si>
  <si>
    <t>LASTRO DE CONCRETO MAGRO, APLICADO EM BLOCOS DE COROAMENTO OU SAPATAS, ESPESSURA DE 3 CM. AF_08/2017</t>
  </si>
  <si>
    <t>kg</t>
  </si>
  <si>
    <t>CORTE, DOBRA E MONTAGEM DE AÇO CA-50 DIÂMETRO (6,3MM A 12,5MM)</t>
  </si>
  <si>
    <t>ED-48295</t>
  </si>
  <si>
    <t>2.6</t>
  </si>
  <si>
    <t>REATERRO MANUAL DE VALA</t>
  </si>
  <si>
    <t>ED-51120</t>
  </si>
  <si>
    <t>FORNECIMENTO DE CONCRETO ESTRUTURAL, PREPARADO EM OBRA, COM FCK 20 MPA, INCLUSIVE LANÇAMENTO, ADENSAMENTO E ACABAMENTO</t>
  </si>
  <si>
    <t>ED-49618</t>
  </si>
  <si>
    <t>PREPARO DE FUNDO DE VALA COM LARGURA MENOR QUE 1,5 M, COM CAMADA DE BRITA, LANÇAMENTO MANUAL. AF_08/2020</t>
  </si>
  <si>
    <t>VIGA BALDRAME</t>
  </si>
  <si>
    <t>FORMA E DESFORMA DE TÁBUA E SARRAFO, REAPROVEITAMENTO (5X), EXCLUSIVE ESCORAMENTO</t>
  </si>
  <si>
    <t>ED-8471</t>
  </si>
  <si>
    <t>PILARES</t>
  </si>
  <si>
    <t>CORTE, DOBRA E MONTAGEM DE AÇO CA-60 DIÂMETRO (4,2MM A 5,0MM)</t>
  </si>
  <si>
    <t>ED-48297</t>
  </si>
  <si>
    <t>ALVENARIA</t>
  </si>
  <si>
    <t>Medidas da placa - 2,00 m x 1,125m</t>
  </si>
  <si>
    <t>PINTURA</t>
  </si>
  <si>
    <t>PINTURA ESMALTE EM ESTRUTURA METÁLICA, DUAS (2) DEMÃOS, INCLUSIVE UMA (1) DEMÃO FUNDO ANTICORROSIVO</t>
  </si>
  <si>
    <t>ED-50497</t>
  </si>
  <si>
    <t>Conforme anexo no Projeto Básico</t>
  </si>
  <si>
    <t>Descrição</t>
  </si>
  <si>
    <t>Quantidade</t>
  </si>
  <si>
    <t>Medidas</t>
  </si>
  <si>
    <t>Comprimento</t>
  </si>
  <si>
    <t>Largura</t>
  </si>
  <si>
    <t>Altura</t>
  </si>
  <si>
    <t>Lastro</t>
  </si>
  <si>
    <t>Escavação (m³)</t>
  </si>
  <si>
    <t xml:space="preserve"> Reaterro (m³)</t>
  </si>
  <si>
    <t>Concreto (m³)</t>
  </si>
  <si>
    <t>Total</t>
  </si>
  <si>
    <t xml:space="preserve"> Quantidade</t>
  </si>
  <si>
    <t>Bilota (mm)</t>
  </si>
  <si>
    <t>Massa (kg/m)</t>
  </si>
  <si>
    <t>Ferragem (kg)</t>
  </si>
  <si>
    <t>Estribo(kg)</t>
  </si>
  <si>
    <t>Planilha de Cálculo</t>
  </si>
  <si>
    <t>Forma (m²)</t>
  </si>
  <si>
    <t>Tamanho da barra - 5mm</t>
  </si>
  <si>
    <t>Tamanho da barra - 8mm</t>
  </si>
  <si>
    <t>a cada</t>
  </si>
  <si>
    <t>Tamanho(m)</t>
  </si>
  <si>
    <t>PLANILHA DE CÁLCULO</t>
  </si>
  <si>
    <t>Área alvenaria(m²)</t>
  </si>
  <si>
    <t>BLOCO CANALETA CHEIO</t>
  </si>
  <si>
    <t>Canaleta</t>
  </si>
  <si>
    <t>BLOCO DE CONCRETO</t>
  </si>
  <si>
    <t>ALVENARIA DE VEDAÇÃO COM BLOCO DE CONCRETO, ESP. 14CM, COM ACABAMENTO APARENTE, INCLUSIVE ARGAMASSA PARA ASSENTAMENTO</t>
  </si>
  <si>
    <t>ED-48195</t>
  </si>
  <si>
    <t>PORTÃO</t>
  </si>
  <si>
    <t>Bloco 14x19x39cm</t>
  </si>
  <si>
    <t>Sapata (70x60)cm</t>
  </si>
  <si>
    <t>Pilar (14x26)cm</t>
  </si>
  <si>
    <t>Viga Baldrame (14x26)cm</t>
  </si>
  <si>
    <t>MURO DE BLOCO DE CONCRETO</t>
  </si>
  <si>
    <t>AÇO - VIGA BALDRAME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</si>
  <si>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</si>
  <si>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</si>
  <si>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</si>
  <si>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</si>
  <si>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</si>
  <si>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</si>
  <si>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</si>
  <si>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</si>
  <si>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</si>
  <si>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</si>
  <si>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</si>
  <si>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</si>
  <si>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</si>
  <si>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</si>
  <si>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</si>
  <si>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</si>
  <si>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2.4.1</t>
  </si>
  <si>
    <t>AÇO - BLOCO CANALETA CHEIO</t>
  </si>
  <si>
    <t>2.5.1</t>
  </si>
  <si>
    <t>2.6.1</t>
  </si>
  <si>
    <t>2.7</t>
  </si>
  <si>
    <t>2.7.1</t>
  </si>
  <si>
    <t>3.2.1</t>
  </si>
  <si>
    <t>BLOCO CANALETA COM CONCRETO ARMADO</t>
  </si>
  <si>
    <t>SERVIÇOS COMPLEMENTARES</t>
  </si>
  <si>
    <t>PINTURA LÁTEX (PVA) EM PAREDE, DUAS (2) DEMÃOS, EXCLUSIVE SELADOR ACRÍLICO E MASSA ACRÍLICA/CORRIDA (PVA)</t>
  </si>
  <si>
    <t>ED-50498</t>
  </si>
  <si>
    <t>JANELA DE FERRO E METALON COM CHAPA E GRADE - PADRÃO SEDS</t>
  </si>
  <si>
    <t>ED-50797</t>
  </si>
  <si>
    <t>JANELA TIPO VENEZIANA EM CHAPA 14 - PADRÃO SEDS</t>
  </si>
  <si>
    <t>ED-50810</t>
  </si>
  <si>
    <t xml:space="preserve">86888 </t>
  </si>
  <si>
    <t>VASO SANITÁRIO SIFONADO COM CAIXA ACOPLADA LOUÇA BRANCA - FORNECIMENTO E INSTALAÇÃO. AF_01/2020</t>
  </si>
  <si>
    <t xml:space="preserve">86904 </t>
  </si>
  <si>
    <t>LAVATÓRIO LOUÇA BRANCA SUSPENSO, 29,5 X 39CM OU EQUIVALENTE, PADRÃO POPULAR - FORNECIMENTO E INSTALAÇÃO. AF_01/2020</t>
  </si>
  <si>
    <t>TORNEIRA CROMADA DE MESA, 1/2 OU 3/4, PARA LAVATÓRIO, PADRÃO POPULAR - FORNECIMENTO E INSTALAÇÃO. AF_01/2020</t>
  </si>
  <si>
    <t>PORTA DE FERRO, DE ABRIR, TIPO GRADE COM CHAPA, COM GUARNIÇÕES. AF_12/2019</t>
  </si>
  <si>
    <t xml:space="preserve"> KIT DE PORTA DE MADEIRA PARA VERNIZ, SEMI-OCA (LEVE OU MÉDIA), PADRÃO POPULAR, 80X210CM, ESPESSURA DE 3,5CM, ITENS INCLUSOS: DOBRADIÇAS, MONTAGEM E INSTALAÇÃO DE BATENTE, FECHADURA COM EXECUÇÃO DO FURO - FORNECIMENTO E INSTALAÇÃO. AF_12/2019</t>
  </si>
  <si>
    <t>1 portões de 2 folhas (6,0m x 2,40m)</t>
  </si>
  <si>
    <t>PORTÃO DE GRADE COLOCADO COM CADEADO</t>
  </si>
  <si>
    <t>ED-50983</t>
  </si>
  <si>
    <t>-</t>
  </si>
  <si>
    <t>BAIAS</t>
  </si>
  <si>
    <t>3.1</t>
  </si>
  <si>
    <t>3.2.2</t>
  </si>
  <si>
    <t>3.2.3</t>
  </si>
  <si>
    <t>3.2.4</t>
  </si>
  <si>
    <t>3.3</t>
  </si>
  <si>
    <t>3.3.1</t>
  </si>
  <si>
    <t>SAPATAS E ARRANQUE</t>
  </si>
  <si>
    <t>COBERTURA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</si>
  <si>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</si>
  <si>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</si>
  <si>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RUFO EM CHAPA DE AÇO GALVANIZADO NÚMERO 24, CORTE DE 25 CM, INCLUSO TRANSPORTE VERTICAL. AF_07/2019</t>
  </si>
  <si>
    <t>CALHA EM CHAPA DE AÇO GALVANIZADO NÚMERO 24, DESENVOLVIMENTO DE 100 CM, INCLUSO TRANSPORTE VERTICAL. AF_07/2019</t>
  </si>
  <si>
    <t xml:space="preserve">CHAPIM (RUFO CAPA) EM AÇO GALVANIZADO, CORTE 33. AF_11/2020 </t>
  </si>
  <si>
    <t>Escavação (m)</t>
  </si>
  <si>
    <t>LAJE</t>
  </si>
  <si>
    <t>ED-50566</t>
  </si>
  <si>
    <t>CONTRAPISO DESEMPENADO COM ARGAMASSA, TRAÇO 1:3 (CIMENTO E AREIA), ESP. 20MM</t>
  </si>
  <si>
    <t>ED-50548</t>
  </si>
  <si>
    <t>PISO CIMENTADO COM ARGAMASSA, TRAÇO 1:3 (CIMENTO E AREIA), ESP. 30MM, ACABAMENTO DESEMPENADO E FELTRADO, MODULAÇÃO DE 100X100CM, INCLUSIVE JUNTA PLÁSTICA</t>
  </si>
  <si>
    <t>PISO</t>
  </si>
  <si>
    <t>LOUÇAS E METAIS</t>
  </si>
  <si>
    <t>LIMPEZA FINAL PARA ENTREGA DA OBRA</t>
  </si>
  <si>
    <t>ED-50266</t>
  </si>
  <si>
    <t>Área de Alvenaria</t>
  </si>
  <si>
    <t>Área de Cobertura</t>
  </si>
  <si>
    <t>Perimetro de Cobertura</t>
  </si>
  <si>
    <t>Medida do Rufo</t>
  </si>
  <si>
    <t>Medida da Calha</t>
  </si>
  <si>
    <t>Área de Contrapiso</t>
  </si>
  <si>
    <t>Área de Piso Cimentado</t>
  </si>
  <si>
    <t>Área de Pintura - Teto: 16,89 m²; Paredes Internas: 41,28 m²; Banheiro: 16,34 m²; Paredes Externas: 43,84m²</t>
  </si>
  <si>
    <t>LIMPEZA FINAL</t>
  </si>
  <si>
    <t>ESQUADRIAS</t>
  </si>
  <si>
    <t>INSTALAÇÕES ELÉTRICAS</t>
  </si>
  <si>
    <t>INSTALAÇÕES HIDRÁULICAS</t>
  </si>
  <si>
    <t>INSTALAÇÕES SANITÁRIAS</t>
  </si>
  <si>
    <t>SINAPI-I</t>
  </si>
  <si>
    <t>CAIXA DE PASSAGEM EM ALVENARIA E TAMPA DE CONCRETO, FUNDO DE BRITA, TIPO 1, 40 X 40 X 60 CM, INCLUSIVE ESCAVAÇÃO, REATERRO E BOTA-FORA</t>
  </si>
  <si>
    <t>ED-49169</t>
  </si>
  <si>
    <t>SIFÃO DO TIPO FLEXÍVEL EM PVC 1 X 1.1/2 - FORNECIMENTO E INSTALAÇÃO. UN C 10,44
AF_01/2020</t>
  </si>
  <si>
    <t xml:space="preserve">VALVULA EM METAL CROMADO PARA LAVATORIO, 1 " SEM LADRAO </t>
  </si>
  <si>
    <t>TUBO PVC, SERIE NORMAL, ESGOTO PREDIAL, DN 100 MM, FORNECIDO E INSTALADO EM RAMAL DE DESCARGA OU RAMAL DE ESGOTO SANITÁRIO. AF_12/2014</t>
  </si>
  <si>
    <t>TUBO PVC, SERIE NORMAL, ESGOTO PREDIAL, DN 50 MM, FORNECIDO E INSTALADO EM PRUMADA DE ESGOTO SANITÁRIO OU VENTILAÇÃO. AF_12/2014</t>
  </si>
  <si>
    <t>TUBO PVC, SERIE NORMAL, ESGOTO PREDIAL, DN 40 MM, FORNECIDO E INSTALADO EM RAMAL DE DESCARGA OU RAMAL DE ESGOTO SANITÁRIO. AF_12/2014</t>
  </si>
  <si>
    <t>TERMINAL DE VENTILACAO, 50 MM, SERIE NORMAL, ESGOTO PREDIAL</t>
  </si>
  <si>
    <t xml:space="preserve">CAIXA SIFONADA PVC, 100 X 100 X 50 MM, COM GRELHA REDONDA BRANCA </t>
  </si>
  <si>
    <t>JOELHO 90 GRAUS, PVC, SERIE NORMAL, ESGOTO PREDIAL, DN 100 MM, JUNTA ELÁSTICA, FORNECIDO E INSTALADO EM RAMAL DE DESCARGA OU RAMAL DE ESGOTO SANITÁRIO. AF_12/2014</t>
  </si>
  <si>
    <t>CURVA CURTA 90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</si>
  <si>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</si>
  <si>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JOELHO 90 GRAUS, PVC, SERIE NORMAL, ESGOTO PREDIAL, DN 50 MM, JUNTA ELÁSTICA, FORNECIDO E INSTALADO EM RAMAL DE DESCARGA OU RAMAL DE ESGOTO
SANITÁRIO. AF_12/2014</t>
  </si>
  <si>
    <t>Sapata (80x60)cm</t>
  </si>
  <si>
    <t>Lastro (m²)</t>
  </si>
  <si>
    <t>SAPATA, ARRANQUES E PILARES</t>
  </si>
  <si>
    <t>Viga Baldrame (20x30)cm</t>
  </si>
  <si>
    <t>Viga de Respaldo (20x30)cm</t>
  </si>
  <si>
    <t>AÇO - VIGA DE RESPALDO</t>
  </si>
  <si>
    <t>MURO DAS BAIAS</t>
  </si>
  <si>
    <t>Bloco 19x19x39cm</t>
  </si>
  <si>
    <t>VIGA DE RESPALDO</t>
  </si>
  <si>
    <t>Pilar (20x30)cm</t>
  </si>
  <si>
    <t>CINTA DE AMARRAÇÃO DE ALVENARIA MOLDADA IN LOCO COM UTILIZAÇÃO DE BLOCOS CANALETA. AF_03/2016</t>
  </si>
  <si>
    <t>3.1.1</t>
  </si>
  <si>
    <t>3.1.2</t>
  </si>
  <si>
    <t>3.1.3</t>
  </si>
  <si>
    <t>3.1.4</t>
  </si>
  <si>
    <t>3.1.5</t>
  </si>
  <si>
    <t>3.1.6</t>
  </si>
  <si>
    <t>3.1.7</t>
  </si>
  <si>
    <t>3.3.2</t>
  </si>
  <si>
    <t>3.3.3</t>
  </si>
  <si>
    <t>3.3.4</t>
  </si>
  <si>
    <t>3.4</t>
  </si>
  <si>
    <t>3.4.1</t>
  </si>
  <si>
    <t>ESTRUTURA DA USINA</t>
  </si>
  <si>
    <t>Sapata (80x70)cm</t>
  </si>
  <si>
    <t>Sapata (90x80)cm</t>
  </si>
  <si>
    <t>Sapata (100x90)cm</t>
  </si>
  <si>
    <t xml:space="preserve">Profundidade </t>
  </si>
  <si>
    <t>CORRIMÃO</t>
  </si>
  <si>
    <t>ESCADA</t>
  </si>
  <si>
    <t>ED-50600</t>
  </si>
  <si>
    <t>PISO ARMADO</t>
  </si>
  <si>
    <t>APLICAÇÃO DE LONA PRETA, ESP. 150 MICRAS, INCLUSIVE FORNECIMENTO</t>
  </si>
  <si>
    <t>EXECUÇÃO DE PASSEIO (CALÇADA) OU PISO DE CONCRETO COM CONCRETO MOLDADO IN LOCO, USINADO, ACABAMENTO CONVENCIONAL, ESPESSURA 8 CM, ARMADO. AF_07/2016</t>
  </si>
  <si>
    <t>LAJE MACIÇA 15 CM DE CONCRETO 13,5 MPA COM ADITIVO IMPERMEABILIZANTE, ARMAÇÃO, FORMA , DESFORMA ( FUNDO CAIXA DÁGUA E COBERTURA)</t>
  </si>
  <si>
    <t>ED-50847</t>
  </si>
  <si>
    <t>CORRIMÃO SIMPLES, DIÂMETRO EXTERNO = 1 1/2", EM AÇO GALVANIZADO. AF_04/2019_P</t>
  </si>
  <si>
    <t>ESCADA EM CONCRETO ARMADO MOLDADO IN LOCO, FCK 20 MPA, COM 1 LANCE E LAJE PLANA, FÔRMA EM CHAPA DE MADEIRA COMPENSADA RESINADA. AF_11/2020</t>
  </si>
  <si>
    <t>EXECUÇÃO E COMPACTAÇÃO DE ATERRO COM SOLO PREDOMINANTEMENTE ARGILOSO -EXCLUSIVE SOLO, ESCAVAÇÃO, CARGA E TRANSPORTE. AF_11/2019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</si>
  <si>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</si>
  <si>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</si>
  <si>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</si>
  <si>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</si>
  <si>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</si>
  <si>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</si>
  <si>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</si>
  <si>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</si>
  <si>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4.2</t>
  </si>
  <si>
    <t>4.2.1</t>
  </si>
  <si>
    <t>4.2.2</t>
  </si>
  <si>
    <t>4.2.3</t>
  </si>
  <si>
    <t>4.2.4</t>
  </si>
  <si>
    <t>4.2.5</t>
  </si>
  <si>
    <t>4.2.6</t>
  </si>
  <si>
    <t>4.3</t>
  </si>
  <si>
    <t>4.3.1</t>
  </si>
  <si>
    <t>4.3.2</t>
  </si>
  <si>
    <t>4.3.3</t>
  </si>
  <si>
    <t>4.3.4</t>
  </si>
  <si>
    <t>4.4</t>
  </si>
  <si>
    <t>4.4.1</t>
  </si>
  <si>
    <t>4.4.2</t>
  </si>
  <si>
    <t>4.4.3</t>
  </si>
  <si>
    <t>4.4.4</t>
  </si>
  <si>
    <t>4.5</t>
  </si>
  <si>
    <t>4.5.1</t>
  </si>
  <si>
    <t>4.6</t>
  </si>
  <si>
    <t>4.6.1</t>
  </si>
  <si>
    <t>4.7</t>
  </si>
  <si>
    <t>4.7.1</t>
  </si>
  <si>
    <t>4.8</t>
  </si>
  <si>
    <t>4.8.1</t>
  </si>
  <si>
    <t>4.9</t>
  </si>
  <si>
    <t>4.9.1</t>
  </si>
  <si>
    <t>VIGA DE CAIXA D'ÁGUA</t>
  </si>
  <si>
    <t>ED-9917</t>
  </si>
  <si>
    <t>PINTURA EPÓXI EM PAREDE, DUAS (2) DEMÃOS, EXCLUSIVE SELADOR ACRÍLICO E MASSA ACRÍLICA/CORRIDA (PVA)</t>
  </si>
  <si>
    <t>4.5.2</t>
  </si>
  <si>
    <t>4.5.3</t>
  </si>
  <si>
    <t>4.5.4</t>
  </si>
  <si>
    <t>4.9.2</t>
  </si>
  <si>
    <t>4.9.3</t>
  </si>
  <si>
    <t>4.10</t>
  </si>
  <si>
    <t>4.10.1</t>
  </si>
  <si>
    <t>4.11</t>
  </si>
  <si>
    <t>4.11.1</t>
  </si>
  <si>
    <t>3.5</t>
  </si>
  <si>
    <t>3.5.1</t>
  </si>
  <si>
    <t>5.1</t>
  </si>
  <si>
    <t>5.1.1</t>
  </si>
  <si>
    <t>5.2</t>
  </si>
  <si>
    <t>5.2.1</t>
  </si>
  <si>
    <t>5.2.2</t>
  </si>
  <si>
    <t>5.2.3</t>
  </si>
  <si>
    <t>5.2.4</t>
  </si>
  <si>
    <t>5.2.5</t>
  </si>
  <si>
    <t>5.3</t>
  </si>
  <si>
    <t>5.3.1</t>
  </si>
  <si>
    <t>5.3.2</t>
  </si>
  <si>
    <t>5.4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</si>
  <si>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</si>
  <si>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</si>
  <si>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</si>
  <si>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</si>
  <si>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</si>
  <si>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</si>
  <si>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</si>
  <si>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</si>
  <si>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</si>
  <si>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</si>
  <si>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5.7.2</t>
  </si>
  <si>
    <t>5.7.3</t>
  </si>
  <si>
    <t>5.7.4</t>
  </si>
  <si>
    <t>5.7.5</t>
  </si>
  <si>
    <t>5.8</t>
  </si>
  <si>
    <t>5.8.1</t>
  </si>
  <si>
    <t>5.8.2</t>
  </si>
  <si>
    <t>5.9</t>
  </si>
  <si>
    <t>5.9.1</t>
  </si>
  <si>
    <t>6.1</t>
  </si>
  <si>
    <t>6.1.1</t>
  </si>
  <si>
    <t>ESCRITÓRIO</t>
  </si>
  <si>
    <t>4.9.4</t>
  </si>
  <si>
    <t>IMPERMEABILIZAÇÃO DE SUPERFÍCIE COM EMULSÃO ASFÁLTICA, 2 DEMÃOS AF_06/2018</t>
  </si>
  <si>
    <t>4.12</t>
  </si>
  <si>
    <t>Paredes internas do muro de contenção</t>
  </si>
  <si>
    <t>Sinalização Preto e Amarelo</t>
  </si>
  <si>
    <t xml:space="preserve">PINTURA EPÓXI EM PAREDE, DUAS (2) DEMÃOS, EXCLUSIVE SELADOR ACRÍLICO E MASSA ACRÍLICA/CORRIDA (PVA) </t>
  </si>
  <si>
    <t>IMPERMEABILIZAÇÃO</t>
  </si>
  <si>
    <t>Escavação do local onde será depositado o asfalto</t>
  </si>
  <si>
    <t>Aplicação abaixo da execução do piso</t>
  </si>
  <si>
    <t>4.12.1</t>
  </si>
  <si>
    <t>Sapata (75x60)cm</t>
  </si>
  <si>
    <t>5.4.1</t>
  </si>
  <si>
    <t>ELETRODUTO DE AÇO GALVANIZADO LEVE, INCLUSIVE CONEXÕES, SUPORTES E FIXAÇÃO DN 20 (3/4")</t>
  </si>
  <si>
    <t>TE, PVC, SERIE NORMAL, ESGOTO PREDIAL, DN 50 X 50 MM, JUNTA ELÁSTICA, FORNECIDO E INSTALADO EM RAMAL DE DESCARGA OU RAMAL DE ESGOTO SANITÁRIO. AF_12/2014</t>
  </si>
  <si>
    <t>CAIXA RETANGULAR 4" X 2" MÉDIA (1,30 M DO PISO), METÁLICA, INSTALADA EM PAREDE - FORNECIMENTO E INSTALAÇÃO. AF_12/2015</t>
  </si>
  <si>
    <t>CABO DE COBRE FLEXÍVEL ISOLADO, 2,5 MM², ANTI-CHAMA 0,6/1,0 KV, PARA CIRCUITOS TERMINAIS - FORNECIMENTO E INSTALAÇÃO. AF_12/2015</t>
  </si>
  <si>
    <t>TOMADA MÉDIA DE EMBUTIR (1 MÓDULO), 2P+T 20 A, INCLUINDO SUPORTE E PLACA - FORNECIMENTO E INSTALAÇÃO. AF_12/2015</t>
  </si>
  <si>
    <t>LUMINÁRIA TIPO CALHA, DE SOBREPOR, COM 1 LÂMPADA TUBULAR FLUORESCENTE DE 36 W, COM REATOR DE PARTIDA RÁPIDA - FORNECIMENTO E INSTALAÇÃO. AF_02/2020</t>
  </si>
  <si>
    <t>QUADRO DE DISTRIBUIÇÃO DE ENERGIA EM CHAPA DE AÇO GALVANIZADO, DE SOBREPOR, COM BARRAMENTO TRIFÁSICO, PARA 18 DISJUNTORES DIN 100A - FORNECIMENTO E INSTALAÇÃO. AF_10/2020</t>
  </si>
  <si>
    <t>ED-49317</t>
  </si>
  <si>
    <t>ADAPTADOR COM FLANGE E ANEL DE VEDAÇÃO, PVC, SOLDÁVEL, DN 25 MM X 3/4, INSTALADO EM RESERVAÇÃO DE ÁGUA DE EDIFICAÇÃO QUE POSSUA RESERVATÓRIO DE FIBRA/FIBROCIMENTO FORNECIMENTO E INSTALAÇÃO. AF_06/2016</t>
  </si>
  <si>
    <t>TORNEIRA PLASTICA DE BOIA CONVENCIONAL PARA CAIXA DE AGUA, 3/4 ", COM HASTE METALICA E COM TORNEIRA E BALAO PLASTICOS (PADRAO POPULAR)</t>
  </si>
  <si>
    <t xml:space="preserve">CAIXA D'AGUA FIBRA DE VIDRO PARA 5000 LITROS, COM TAMPA </t>
  </si>
  <si>
    <t>KIT DE ACESSORIOS PARA BANHEIRO EM METAL CROMADO, 5 PECAS, INCLUSO FIXAÇÃO. AF_01/2020</t>
  </si>
  <si>
    <t>4.13</t>
  </si>
  <si>
    <t>PORTA DE FERRO</t>
  </si>
  <si>
    <t>4.13.3</t>
  </si>
  <si>
    <t>OBRA:  CONSTRUÇÃO DA USINA DE ASFALTO DE JANAÚBA</t>
  </si>
  <si>
    <t>ADAPTADOR CURTO COM BOLSA E ROSCA PARA REGISTRO, PVC, SOLDÁVEL, DN 25M M X 3/4, INSTALADO EM RAMAL OU SUB-RAMAL DE ÁGUA - FORNECIMENTO E INSTALAÇÃO. AF_12/2014</t>
  </si>
  <si>
    <t>ENGATE FLEXÍVEL EM PLÁSTICO BRANCO, 1/2 X 30CM - FORNECIMENTO E INSTALAÇÃO. AF_01/2020</t>
  </si>
  <si>
    <t>ENGATE FLEXÍVEL EM INOX, 1/2 X 30CM - FORNECIMENTO E INSTALAÇÃO. AF_01/2020</t>
  </si>
  <si>
    <t>JOELHO 90 GRAUS, PVC, SOLDÁVEL, DN 25MM, INSTALADO EM RAMAL OU SUB-RAMAL DE ÁGUA - FORNECIMENTO E INSTALAÇÃO. AF_12/2014</t>
  </si>
  <si>
    <t>TUBO, PVC, SOLDÁVEL, DN 25MM, INSTALADO EM RAMAL DE DISTRIBUIÇÃO DE ÁGUA - FORNECIMENTO E INSTALAÇÃO. AF_12/2014</t>
  </si>
  <si>
    <t>JOELHO 90 GRAUS COM BUCHA DE LATÃO, PVC, SOLDÁVEL, DN 25MM, X 3/4 INSTALADO EM RAMAL OU SUB-RAMAL DE ÁGUA - FORNECIMENTO E INSTALAÇÃO. AF_12/2014</t>
  </si>
  <si>
    <t>TUBO, PVC, SOLDÁVEL, DN 20MM, INSTALADO EM RAMAL DE DISTRIBUIÇÃO DE ÁGUA - FORNECIMENTO E INSTALAÇÃO. AF_12/2014</t>
  </si>
  <si>
    <t>CAIXA D'ÁGUA</t>
  </si>
  <si>
    <t>REGISTRO DE ESFERA, PVC, SOLDÁVEL, DN 25 MM, INSTALADO EM RESERVAÇÃO DE ÁGUA DE EDIFICAÇÃO QUE POSSUA RESERVATÓRIO DE FIBRA/FIBROCIMENTO FORNECIMENTO E INSTALAÇÃO. AF_06/2016</t>
  </si>
  <si>
    <t>TE, PVC, SOLDÁVEL, DN 25MM, INSTALADO EM RAMAL DE DISTRIBUIÇÃO DE ÁGUA - FORNECIMENTO E INSTALAÇÃO. AF_12/2014</t>
  </si>
  <si>
    <t>JOELHO 90 GRAUS, PVC, SOLDÁVEL, DN 25MM, INSTALADO EM PRUMADA DE ÁGUA- FORNECIMENTO E INSTALAÇÃO. AF_12/2014</t>
  </si>
  <si>
    <t>ADAPTADOR COM FLANGES LIVRES, PVC, SOLDÁVEL, DN 25 MM X 3/4 , INSTALADO EM RESERVAÇÃO DE ÁGUA DE EDIFICAÇÃO QUE POSSUA RESERVATÓRIO DE FIBR
A/FIBROCIMENTO FORNECIMENTO E INSTALAÇÃO. AF_06/2016</t>
  </si>
  <si>
    <t>ADAPTADOR COM FLANGES LIVRES, PVC, SOLDÁVEL LONGO, DN 25 MM X 3/4 , INSTALADO EM RESERVAÇÃO DE ÁGUA DE EDIFICAÇÃO QUE POSSUA RESERVATÓRIO DE FIBRA/FIBROCIMENTO FORNECIMENTO E INSTALAÇÃO. AF_06/2016</t>
  </si>
  <si>
    <t>4.14</t>
  </si>
  <si>
    <t>4.14.1</t>
  </si>
  <si>
    <t>4.14.2</t>
  </si>
  <si>
    <t>4.14.3</t>
  </si>
  <si>
    <t>4.14.4</t>
  </si>
  <si>
    <t>4.14.5</t>
  </si>
  <si>
    <t>4.14.6</t>
  </si>
  <si>
    <t>4.14.7</t>
  </si>
  <si>
    <t>IÇAMENTO DE USINA E TANQUES</t>
  </si>
  <si>
    <t>h</t>
  </si>
  <si>
    <t>4.13.1</t>
  </si>
  <si>
    <t>VIGA FUNDAÇÃO APOIO USINA E TANQUE</t>
  </si>
  <si>
    <t>Conforme anexo no Projeto Básico - 8 vigas de apoio</t>
  </si>
  <si>
    <t xml:space="preserve">101173 </t>
  </si>
  <si>
    <t>ESTACA BROCA DE CONCRETO, DIÂMETRO DE 20CM, ESCAVAÇÃO MANUAL COM TRADO CONCHA, COM ARMADURA DE ARRANQUE. AF_05/2020</t>
  </si>
  <si>
    <t>Conforme anexo no Projeto Básico - 16 brocas de 2,5 m</t>
  </si>
  <si>
    <t>Tamanho da barra - 10mm</t>
  </si>
  <si>
    <t xml:space="preserve">BROCA </t>
  </si>
  <si>
    <t>Broca (20x250)cm</t>
  </si>
  <si>
    <t>CHUMBADOR DE ACO, 1" X 600 MM, PARA POSTES DE ACO COM BASE, INCLUSO PORCA E ARRUELA</t>
  </si>
  <si>
    <t>GUINDAUTO HIDRÁULICO, CAPACIDADE MÁXIMA DE CARGA 6200 KG, MOMENTO MÁXIMO DE CARGA 11,7 TM, ALCANCE MÁXIMO HORIZONTAL 9,70 M, INCLUSIVE CAMIN HÃO TOCO PBT 16.000 KG, POTÊNCIA DE 189 CV - MATERIAIS NA OPERAÇÃO. AF_08/2015</t>
  </si>
  <si>
    <t>88286</t>
  </si>
  <si>
    <t>MOTORISTA OPERADOR DE MUNCK COM ENCARGOS COMPLEMENTARES</t>
  </si>
  <si>
    <t>OPERADOR DE MÁQUINAS E EQUIPAMENTOS COM ENCARGOS COMPLEMENTARES</t>
  </si>
  <si>
    <t>MONTADOR (TUBO AÇO/EQUIPAMENTOS) COM ENCARGOS COMPLEMENTARES</t>
  </si>
  <si>
    <t>AJUDANTE ESPECIALIZADO COM ENCARGOS COMPLEMENTARES</t>
  </si>
  <si>
    <t>4.13.2</t>
  </si>
  <si>
    <t>4.13.4</t>
  </si>
  <si>
    <t>4.13.5</t>
  </si>
  <si>
    <t>CABO DE COBRE FLEXÍVEL ISOLADO, 35 MM², ANTI-CHAMA 0,6/1,0 KV, PARA DISTRIBUIÇÃO - FORNECIMENTO E INSTALAÇÃO. AF_12/2015</t>
  </si>
  <si>
    <t>CABO DE COBRE FLEXÍVEL ISOLADO, 4 MM², ANTI-CHAMA 450/750 V, PARA CIRCUITOS TERMINAIS - FORNECIMENTO E INSTALAÇÃO. AF_12/2015</t>
  </si>
  <si>
    <t>INTERRUPTOR SIMPLES (1 MÓDULO) COM 1 TOMADA DE EMBUTIR 2P+T 10 A, INCLUINDO SUPORTE E PLACA - FORNECIMENTO E INSTALAÇÃO. AF_12/2015</t>
  </si>
  <si>
    <t>JUNÇÃO SIMPLES, PVC, SERIE NORMAL, ESGOTO PREDIAL, DN 100 X 100 MM, JUNTA ELÁSTICA, FORNECIDO E INSTALADO EM RAMAL DE DESCARGA OU RAMAL DE ESGOTO SANITÁRIO. AF_12/2014</t>
  </si>
  <si>
    <t>COMPOSIÇÃO DE MERCADO</t>
  </si>
  <si>
    <t>UND</t>
  </si>
  <si>
    <t>QTD</t>
  </si>
  <si>
    <t>EMPRESA</t>
  </si>
  <si>
    <t>MÉDIA</t>
  </si>
  <si>
    <t>ELETRICO</t>
  </si>
  <si>
    <t>MERCADO LIVRE</t>
  </si>
  <si>
    <t>VIEW TECH</t>
  </si>
  <si>
    <t>ILUMINIUM</t>
  </si>
  <si>
    <t>MAGAZINE LUIZA</t>
  </si>
  <si>
    <t>REFLETOR LED 200W</t>
  </si>
  <si>
    <t>PAINEL ESTRELA TRIANGULO 10CV 220V</t>
  </si>
  <si>
    <t>MERCADO</t>
  </si>
  <si>
    <t>COMP001</t>
  </si>
  <si>
    <t>COMP002</t>
  </si>
  <si>
    <t>4.15</t>
  </si>
  <si>
    <t>4.15.1</t>
  </si>
  <si>
    <t>LOCAL: AVENIDA DINAMARCA, Nº 30, BAIRRO BOA VISTA, JANAÚBA-MG</t>
  </si>
  <si>
    <t>4.16</t>
  </si>
  <si>
    <t>4.16.1</t>
  </si>
  <si>
    <t>4.16.2</t>
  </si>
  <si>
    <t>4.16.3</t>
  </si>
  <si>
    <t>4.16.4</t>
  </si>
  <si>
    <t>4.16.5</t>
  </si>
  <si>
    <t>4.16.6</t>
  </si>
  <si>
    <t>4.16.7</t>
  </si>
  <si>
    <t>4.16.8</t>
  </si>
  <si>
    <t>4.17</t>
  </si>
  <si>
    <t>4.17.1</t>
  </si>
  <si>
    <t>4.17.2</t>
  </si>
  <si>
    <t>4.17.3</t>
  </si>
  <si>
    <t>4.17.4</t>
  </si>
  <si>
    <t>4.17.5</t>
  </si>
  <si>
    <t>4.17.6</t>
  </si>
  <si>
    <t>4.17.7</t>
  </si>
  <si>
    <t>4.17.8</t>
  </si>
  <si>
    <t>CAIXA D´ÁGUA EM POLIETILENO, 500 LITROS (INCLUSOS TUBOS, CONEXÕES E TORNEIRA DE BÓIA) - FORNECIMENTO E INSTALAÇÃO. AF_06/2021</t>
  </si>
  <si>
    <t>ESTRUTURA DA ESCRITÓRIO</t>
  </si>
  <si>
    <t xml:space="preserve">2 portões de 2 folhas (6,0m x 2,40m)                                         </t>
  </si>
  <si>
    <t>PORTÃO DE FERRO PADRÃO, EM CHAPA (TIPO LAMBRI), COLOCADO COM CADEADO</t>
  </si>
  <si>
    <t>ED-50982</t>
  </si>
  <si>
    <t>2.7.2</t>
  </si>
  <si>
    <t>5.5.4</t>
  </si>
  <si>
    <t>5.5.5</t>
  </si>
  <si>
    <t>5.5.6</t>
  </si>
  <si>
    <t>5.5.7</t>
  </si>
  <si>
    <t>5.5.8</t>
  </si>
  <si>
    <t>5.6.4</t>
  </si>
  <si>
    <t>5.6.5</t>
  </si>
  <si>
    <t>5.6.6</t>
  </si>
  <si>
    <t>5.6.7</t>
  </si>
  <si>
    <t>5.6.8</t>
  </si>
  <si>
    <t>5.6.9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</si>
  <si>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</si>
  <si>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</si>
  <si>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</si>
  <si>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</si>
  <si>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</si>
  <si>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</si>
  <si>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</si>
  <si>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</si>
  <si>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</si>
  <si>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5.8.3</t>
  </si>
  <si>
    <t>5.8.4</t>
  </si>
  <si>
    <t>5.9.2</t>
  </si>
  <si>
    <t>5.9.3</t>
  </si>
  <si>
    <t>5.9.4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</si>
  <si>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</si>
  <si>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KIT DE REGISTRO DE GAVETA BRUTO DE LATÃO ¾", INCLUSIVE CONEXÕES, ROSCÁVEL, INSTALADO EM RAMAL DE ÁGUA FRIA - FORNECIMENTO E INSTALAÇÃO. AF_12/2014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</si>
</sst>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&quot;R$&quot;\ #,##0.00"/>
    <numFmt numFmtId="184" formatCode="0.000"/>
    <numFmt numFmtId="185" formatCode="0.0000"/>
    <numFmt numFmtId="186" formatCode="0.000000"/>
    <numFmt numFmtId="187" formatCode="0.0000000"/>
    <numFmt numFmtId="188" formatCode="0.00000"/>
    <numFmt numFmtId="189" formatCode="[$-416]dddd\,\ d&quot; de &quot;mmmm&quot; de &quot;yyyy"/>
    <numFmt numFmtId="190" formatCode="#,##0.0"/>
    <numFmt numFmtId="191" formatCode="#,##0.000"/>
    <numFmt numFmtId="192" formatCode="#,##0.0000"/>
    <numFmt numFmtId="193" formatCode="&quot;R$ &quot;#,##0.00"/>
    <numFmt numFmtId="194" formatCode="&quot;Ativado&quot;;&quot;Ativado&quot;;&quot;Desativado&quot;"/>
    <numFmt numFmtId="195" formatCode="0.00\ &quot;%&quot;"/>
    <numFmt numFmtId="196" formatCode="0.0%"/>
    <numFmt numFmtId="197" formatCode="0.000%"/>
    <numFmt numFmtId="198" formatCode="_-[$R$-416]\ * #,##0.00_-;\-[$R$-416]\ * #,##0.00_-;_-[$R$-416]\ * &quot;-&quot;??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Bookman Old Style"/>
      <family val="1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sz val="7"/>
      <color indexed="8"/>
      <name val="Arial"/>
      <family val="2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0" fontId="5" fillId="0" borderId="0" xfId="6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6" fontId="5" fillId="0" borderId="0" xfId="47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 horizontal="center" vertical="center"/>
    </xf>
    <xf numFmtId="43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11" fillId="0" borderId="0" xfId="0" applyFont="1" applyAlignment="1">
      <alignment/>
    </xf>
    <xf numFmtId="0" fontId="0" fillId="28" borderId="10" xfId="0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2" fontId="0" fillId="0" borderId="13" xfId="0" applyNumberFormat="1" applyBorder="1" applyAlignment="1">
      <alignment horizontal="center" vertical="center"/>
    </xf>
    <xf numFmtId="0" fontId="0" fillId="28" borderId="10" xfId="0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left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/>
    </xf>
    <xf numFmtId="0" fontId="19" fillId="34" borderId="0" xfId="0" applyFont="1" applyFill="1" applyAlignment="1">
      <alignment/>
    </xf>
    <xf numFmtId="2" fontId="19" fillId="34" borderId="0" xfId="0" applyNumberFormat="1" applyFont="1" applyFill="1" applyAlignment="1">
      <alignment horizontal="center" vertical="center"/>
    </xf>
    <xf numFmtId="2" fontId="19" fillId="34" borderId="13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182" fontId="0" fillId="0" borderId="10" xfId="0" applyNumberFormat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2" fillId="35" borderId="10" xfId="0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wrapText="1"/>
    </xf>
    <xf numFmtId="176" fontId="44" fillId="0" borderId="10" xfId="47" applyFont="1" applyBorder="1" applyAlignment="1">
      <alignment horizontal="center" wrapText="1"/>
    </xf>
    <xf numFmtId="176" fontId="44" fillId="0" borderId="10" xfId="47" applyFont="1" applyBorder="1" applyAlignment="1">
      <alignment horizontal="center"/>
    </xf>
    <xf numFmtId="176" fontId="44" fillId="0" borderId="10" xfId="47" applyFont="1" applyFill="1" applyBorder="1" applyAlignment="1">
      <alignment horizontal="center"/>
    </xf>
    <xf numFmtId="0" fontId="62" fillId="35" borderId="10" xfId="0" applyFont="1" applyFill="1" applyBorder="1" applyAlignment="1">
      <alignment horizontal="left" vertical="center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/>
    </xf>
    <xf numFmtId="0" fontId="62" fillId="35" borderId="12" xfId="0" applyFont="1" applyFill="1" applyBorder="1" applyAlignment="1">
      <alignment vertical="center"/>
    </xf>
    <xf numFmtId="0" fontId="60" fillId="35" borderId="13" xfId="0" applyFont="1" applyFill="1" applyBorder="1" applyAlignment="1">
      <alignment/>
    </xf>
    <xf numFmtId="0" fontId="62" fillId="35" borderId="12" xfId="0" applyFont="1" applyFill="1" applyBorder="1" applyAlignment="1">
      <alignment horizontal="center" vertical="center"/>
    </xf>
    <xf numFmtId="44" fontId="60" fillId="35" borderId="13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28" borderId="10" xfId="0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182" fontId="0" fillId="0" borderId="10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19" fillId="34" borderId="10" xfId="0" applyNumberFormat="1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horizontal="center" vertical="center"/>
      <protection hidden="1"/>
    </xf>
    <xf numFmtId="0" fontId="19" fillId="34" borderId="1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1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34" borderId="17" xfId="0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34" borderId="16" xfId="0" applyFont="1" applyFill="1" applyBorder="1" applyAlignment="1" applyProtection="1">
      <alignment horizontal="center"/>
      <protection hidden="1"/>
    </xf>
    <xf numFmtId="0" fontId="21" fillId="0" borderId="11" xfId="0" applyFont="1" applyBorder="1" applyAlignment="1" applyProtection="1">
      <alignment/>
      <protection hidden="1"/>
    </xf>
    <xf numFmtId="0" fontId="0" fillId="28" borderId="10" xfId="0" applyFont="1" applyFill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184" fontId="0" fillId="0" borderId="10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19" fillId="34" borderId="13" xfId="0" applyNumberFormat="1" applyFont="1" applyFill="1" applyBorder="1" applyAlignment="1" applyProtection="1">
      <alignment horizontal="center" vertical="center"/>
      <protection hidden="1"/>
    </xf>
    <xf numFmtId="49" fontId="4" fillId="35" borderId="14" xfId="0" applyNumberFormat="1" applyFont="1" applyFill="1" applyBorder="1" applyAlignment="1" applyProtection="1">
      <alignment horizontal="left" wrapText="1"/>
      <protection hidden="1"/>
    </xf>
    <xf numFmtId="49" fontId="16" fillId="35" borderId="15" xfId="0" applyNumberFormat="1" applyFont="1" applyFill="1" applyBorder="1" applyAlignment="1" applyProtection="1">
      <alignment horizontal="center" vertical="center" wrapText="1"/>
      <protection hidden="1"/>
    </xf>
    <xf numFmtId="182" fontId="0" fillId="0" borderId="10" xfId="0" applyNumberFormat="1" applyBorder="1" applyAlignment="1" applyProtection="1">
      <alignment horizontal="center"/>
      <protection hidden="1"/>
    </xf>
    <xf numFmtId="0" fontId="19" fillId="34" borderId="0" xfId="0" applyFont="1" applyFill="1" applyAlignment="1" applyProtection="1">
      <alignment/>
      <protection hidden="1"/>
    </xf>
    <xf numFmtId="2" fontId="19" fillId="34" borderId="0" xfId="0" applyNumberFormat="1" applyFont="1" applyFill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vertical="center"/>
      <protection hidden="1"/>
    </xf>
    <xf numFmtId="0" fontId="11" fillId="0" borderId="22" xfId="0" applyFont="1" applyFill="1" applyBorder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vertical="center"/>
      <protection hidden="1"/>
    </xf>
    <xf numFmtId="0" fontId="11" fillId="0" borderId="24" xfId="0" applyFont="1" applyFill="1" applyBorder="1" applyAlignment="1" applyProtection="1">
      <alignment vertical="center"/>
      <protection hidden="1"/>
    </xf>
    <xf numFmtId="14" fontId="11" fillId="0" borderId="25" xfId="0" applyNumberFormat="1" applyFont="1" applyFill="1" applyBorder="1" applyAlignment="1" applyProtection="1">
      <alignment horizontal="left" vertical="center"/>
      <protection hidden="1"/>
    </xf>
    <xf numFmtId="0" fontId="11" fillId="0" borderId="16" xfId="0" applyFont="1" applyFill="1" applyBorder="1" applyAlignment="1" applyProtection="1">
      <alignment vertical="center"/>
      <protection hidden="1"/>
    </xf>
    <xf numFmtId="0" fontId="11" fillId="0" borderId="26" xfId="0" applyFont="1" applyFill="1" applyBorder="1" applyAlignment="1" applyProtection="1">
      <alignment vertical="center"/>
      <protection hidden="1"/>
    </xf>
    <xf numFmtId="0" fontId="11" fillId="0" borderId="27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3" fillId="36" borderId="28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4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left" vertical="center" wrapText="1"/>
      <protection hidden="1"/>
    </xf>
    <xf numFmtId="4" fontId="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1" fillId="34" borderId="2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49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 quotePrefix="1">
      <alignment horizontal="left" vertical="center" wrapText="1"/>
      <protection hidden="1"/>
    </xf>
    <xf numFmtId="49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 wrapText="1"/>
      <protection hidden="1"/>
    </xf>
    <xf numFmtId="4" fontId="1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49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left" vertical="center" wrapText="1"/>
      <protection hidden="1"/>
    </xf>
    <xf numFmtId="4" fontId="1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 quotePrefix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 quotePrefix="1">
      <alignment horizontal="left" vertical="center" wrapText="1"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 wrapText="1"/>
      <protection hidden="1"/>
    </xf>
    <xf numFmtId="0" fontId="5" fillId="0" borderId="53" xfId="0" applyFont="1" applyBorder="1" applyAlignment="1" applyProtection="1">
      <alignment horizontal="center" wrapText="1"/>
      <protection hidden="1"/>
    </xf>
    <xf numFmtId="0" fontId="5" fillId="0" borderId="54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76" fontId="5" fillId="0" borderId="11" xfId="47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176" fontId="7" fillId="0" borderId="20" xfId="47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26" xfId="0" applyFont="1" applyFill="1" applyBorder="1" applyAlignment="1" applyProtection="1">
      <alignment vertical="center"/>
      <protection hidden="1"/>
    </xf>
    <xf numFmtId="0" fontId="7" fillId="0" borderId="34" xfId="0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176" fontId="7" fillId="0" borderId="32" xfId="47" applyFont="1" applyFill="1" applyBorder="1" applyAlignment="1" applyProtection="1">
      <alignment horizontal="center" vertical="center" wrapText="1"/>
      <protection hidden="1"/>
    </xf>
    <xf numFmtId="0" fontId="63" fillId="36" borderId="20" xfId="0" applyFont="1" applyFill="1" applyBorder="1" applyAlignment="1" applyProtection="1">
      <alignment vertical="center" wrapText="1"/>
      <protection hidden="1"/>
    </xf>
    <xf numFmtId="176" fontId="63" fillId="36" borderId="55" xfId="47" applyFont="1" applyFill="1" applyBorder="1" applyAlignment="1" applyProtection="1">
      <alignment vertical="center" wrapText="1"/>
      <protection hidden="1"/>
    </xf>
    <xf numFmtId="0" fontId="64" fillId="0" borderId="47" xfId="0" applyFont="1" applyFill="1" applyBorder="1" applyAlignment="1" applyProtection="1">
      <alignment horizontal="center" vertical="center" wrapText="1"/>
      <protection hidden="1"/>
    </xf>
    <xf numFmtId="0" fontId="64" fillId="0" borderId="33" xfId="0" applyFont="1" applyFill="1" applyBorder="1" applyAlignment="1" applyProtection="1">
      <alignment horizontal="center" vertical="center" wrapText="1"/>
      <protection hidden="1"/>
    </xf>
    <xf numFmtId="0" fontId="64" fillId="0" borderId="33" xfId="0" applyFont="1" applyFill="1" applyBorder="1" applyAlignment="1" applyProtection="1">
      <alignment horizontal="left" vertical="center" wrapText="1"/>
      <protection hidden="1"/>
    </xf>
    <xf numFmtId="4" fontId="64" fillId="0" borderId="33" xfId="0" applyNumberFormat="1" applyFont="1" applyFill="1" applyBorder="1" applyAlignment="1" applyProtection="1">
      <alignment horizontal="center" vertical="center" wrapText="1"/>
      <protection hidden="1"/>
    </xf>
    <xf numFmtId="176" fontId="64" fillId="0" borderId="35" xfId="47" applyFont="1" applyFill="1" applyBorder="1" applyAlignment="1" applyProtection="1">
      <alignment horizontal="center" vertical="center" wrapText="1"/>
      <protection hidden="1"/>
    </xf>
    <xf numFmtId="0" fontId="65" fillId="34" borderId="56" xfId="0" applyFont="1" applyFill="1" applyBorder="1" applyAlignment="1" applyProtection="1">
      <alignment horizontal="center" vertical="center" wrapText="1"/>
      <protection hidden="1"/>
    </xf>
    <xf numFmtId="176" fontId="65" fillId="34" borderId="55" xfId="47" applyFont="1" applyFill="1" applyBorder="1" applyAlignment="1" applyProtection="1">
      <alignment vertical="center" wrapText="1"/>
      <protection hidden="1"/>
    </xf>
    <xf numFmtId="0" fontId="64" fillId="0" borderId="1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 applyProtection="1">
      <alignment horizontal="left" vertical="center" wrapText="1"/>
      <protection hidden="1"/>
    </xf>
    <xf numFmtId="49" fontId="64" fillId="0" borderId="33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5" xfId="47" applyFont="1" applyFill="1" applyBorder="1" applyAlignment="1" applyProtection="1">
      <alignment horizontal="center" vertical="center" wrapText="1"/>
      <protection hidden="1"/>
    </xf>
    <xf numFmtId="0" fontId="65" fillId="34" borderId="20" xfId="0" applyFont="1" applyFill="1" applyBorder="1" applyAlignment="1" applyProtection="1">
      <alignment vertical="center" wrapText="1"/>
      <protection hidden="1"/>
    </xf>
    <xf numFmtId="0" fontId="63" fillId="36" borderId="19" xfId="0" applyFont="1" applyFill="1" applyBorder="1" applyAlignment="1" applyProtection="1">
      <alignment vertical="center" wrapText="1"/>
      <protection locked="0"/>
    </xf>
    <xf numFmtId="4" fontId="64" fillId="37" borderId="33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9" xfId="0" applyFont="1" applyFill="1" applyBorder="1" applyAlignment="1" applyProtection="1">
      <alignment vertical="center" wrapText="1"/>
      <protection locked="0"/>
    </xf>
    <xf numFmtId="4" fontId="6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vertical="center"/>
      <protection hidden="1"/>
    </xf>
    <xf numFmtId="0" fontId="7" fillId="0" borderId="57" xfId="0" applyFont="1" applyFill="1" applyBorder="1" applyAlignment="1" applyProtection="1">
      <alignment horizontal="center" vertical="center"/>
      <protection hidden="1"/>
    </xf>
    <xf numFmtId="0" fontId="7" fillId="0" borderId="57" xfId="0" applyFont="1" applyFill="1" applyBorder="1" applyAlignment="1" applyProtection="1">
      <alignment horizontal="center" vertical="center" wrapText="1"/>
      <protection hidden="1"/>
    </xf>
    <xf numFmtId="0" fontId="7" fillId="0" borderId="58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0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10" fontId="4" fillId="0" borderId="13" xfId="62" applyNumberFormat="1" applyFont="1" applyFill="1" applyBorder="1" applyAlignment="1" applyProtection="1">
      <alignment horizontal="center" vertical="center" wrapText="1"/>
      <protection hidden="1"/>
    </xf>
    <xf numFmtId="10" fontId="17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/>
      <protection hidden="1"/>
    </xf>
    <xf numFmtId="10" fontId="4" fillId="37" borderId="10" xfId="62" applyNumberFormat="1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 applyProtection="1">
      <alignment vertical="center"/>
      <protection hidden="1"/>
    </xf>
    <xf numFmtId="0" fontId="7" fillId="0" borderId="59" xfId="0" applyFont="1" applyFill="1" applyBorder="1" applyAlignment="1" applyProtection="1">
      <alignment vertical="center"/>
      <protection hidden="1"/>
    </xf>
    <xf numFmtId="0" fontId="7" fillId="35" borderId="60" xfId="0" applyFont="1" applyFill="1" applyBorder="1" applyAlignment="1" applyProtection="1">
      <alignment vertical="center"/>
      <protection hidden="1"/>
    </xf>
    <xf numFmtId="0" fontId="11" fillId="33" borderId="44" xfId="0" applyFont="1" applyFill="1" applyBorder="1" applyAlignment="1" applyProtection="1">
      <alignment horizontal="center" vertical="center"/>
      <protection hidden="1"/>
    </xf>
    <xf numFmtId="0" fontId="11" fillId="33" borderId="45" xfId="0" applyFont="1" applyFill="1" applyBorder="1" applyAlignment="1" applyProtection="1">
      <alignment horizontal="center" vertical="center"/>
      <protection hidden="1"/>
    </xf>
    <xf numFmtId="0" fontId="11" fillId="33" borderId="45" xfId="0" applyFont="1" applyFill="1" applyBorder="1" applyAlignment="1" applyProtection="1">
      <alignment horizontal="center" vertical="center" wrapText="1"/>
      <protection hidden="1"/>
    </xf>
    <xf numFmtId="0" fontId="11" fillId="38" borderId="45" xfId="0" applyFont="1" applyFill="1" applyBorder="1" applyAlignment="1" applyProtection="1">
      <alignment horizontal="center" vertical="center" wrapText="1"/>
      <protection hidden="1"/>
    </xf>
    <xf numFmtId="0" fontId="11" fillId="33" borderId="46" xfId="0" applyFont="1" applyFill="1" applyBorder="1" applyAlignment="1" applyProtection="1">
      <alignment horizontal="center" vertical="center"/>
      <protection hidden="1"/>
    </xf>
    <xf numFmtId="49" fontId="9" fillId="33" borderId="61" xfId="0" applyNumberFormat="1" applyFont="1" applyFill="1" applyBorder="1" applyAlignment="1" applyProtection="1">
      <alignment horizontal="center" vertical="top" wrapText="1"/>
      <protection hidden="1"/>
    </xf>
    <xf numFmtId="197" fontId="9" fillId="38" borderId="61" xfId="0" applyNumberFormat="1" applyFont="1" applyFill="1" applyBorder="1" applyAlignment="1" applyProtection="1">
      <alignment horizontal="center" vertical="top" wrapText="1"/>
      <protection hidden="1"/>
    </xf>
    <xf numFmtId="10" fontId="9" fillId="33" borderId="61" xfId="0" applyNumberFormat="1" applyFont="1" applyFill="1" applyBorder="1" applyAlignment="1" applyProtection="1">
      <alignment horizontal="center" vertical="top" wrapText="1"/>
      <protection hidden="1"/>
    </xf>
    <xf numFmtId="10" fontId="9" fillId="33" borderId="62" xfId="0" applyNumberFormat="1" applyFont="1" applyFill="1" applyBorder="1" applyAlignment="1" applyProtection="1">
      <alignment horizontal="center" vertical="top" wrapText="1"/>
      <protection hidden="1"/>
    </xf>
    <xf numFmtId="49" fontId="13" fillId="33" borderId="63" xfId="0" applyNumberFormat="1" applyFont="1" applyFill="1" applyBorder="1" applyAlignment="1" applyProtection="1">
      <alignment horizontal="center" vertical="top" wrapText="1"/>
      <protection hidden="1"/>
    </xf>
    <xf numFmtId="4" fontId="13" fillId="38" borderId="63" xfId="0" applyNumberFormat="1" applyFont="1" applyFill="1" applyBorder="1" applyAlignment="1" applyProtection="1">
      <alignment horizontal="center" vertical="top" wrapText="1"/>
      <protection hidden="1"/>
    </xf>
    <xf numFmtId="4" fontId="13" fillId="33" borderId="63" xfId="0" applyNumberFormat="1" applyFont="1" applyFill="1" applyBorder="1" applyAlignment="1" applyProtection="1">
      <alignment horizontal="center" vertical="top" wrapText="1"/>
      <protection hidden="1"/>
    </xf>
    <xf numFmtId="4" fontId="13" fillId="33" borderId="64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63" xfId="0" applyNumberFormat="1" applyFont="1" applyFill="1" applyBorder="1" applyAlignment="1" applyProtection="1">
      <alignment horizontal="center" vertical="top" wrapText="1"/>
      <protection hidden="1"/>
    </xf>
    <xf numFmtId="191" fontId="13" fillId="33" borderId="63" xfId="0" applyNumberFormat="1" applyFont="1" applyFill="1" applyBorder="1" applyAlignment="1" applyProtection="1">
      <alignment horizontal="center" vertical="top" wrapText="1"/>
      <protection hidden="1"/>
    </xf>
    <xf numFmtId="10" fontId="12" fillId="33" borderId="62" xfId="0" applyNumberFormat="1" applyFont="1" applyFill="1" applyBorder="1" applyAlignment="1" applyProtection="1">
      <alignment horizontal="center" vertical="top" wrapText="1"/>
      <protection hidden="1"/>
    </xf>
    <xf numFmtId="49" fontId="13" fillId="34" borderId="65" xfId="0" applyNumberFormat="1" applyFont="1" applyFill="1" applyBorder="1" applyAlignment="1" applyProtection="1">
      <alignment horizontal="center" vertical="top" wrapText="1"/>
      <protection hidden="1"/>
    </xf>
    <xf numFmtId="10" fontId="13" fillId="34" borderId="65" xfId="0" applyNumberFormat="1" applyFont="1" applyFill="1" applyBorder="1" applyAlignment="1" applyProtection="1">
      <alignment horizontal="center" vertical="top" wrapText="1"/>
      <protection hidden="1"/>
    </xf>
    <xf numFmtId="10" fontId="13" fillId="34" borderId="66" xfId="0" applyNumberFormat="1" applyFont="1" applyFill="1" applyBorder="1" applyAlignment="1" applyProtection="1">
      <alignment horizontal="center" vertical="top" wrapText="1"/>
      <protection hidden="1"/>
    </xf>
    <xf numFmtId="49" fontId="13" fillId="34" borderId="67" xfId="0" applyNumberFormat="1" applyFont="1" applyFill="1" applyBorder="1" applyAlignment="1" applyProtection="1">
      <alignment horizontal="center" vertical="top" wrapText="1"/>
      <protection hidden="1"/>
    </xf>
    <xf numFmtId="193" fontId="13" fillId="34" borderId="67" xfId="0" applyNumberFormat="1" applyFont="1" applyFill="1" applyBorder="1" applyAlignment="1" applyProtection="1">
      <alignment horizontal="center" vertical="top" wrapText="1"/>
      <protection hidden="1"/>
    </xf>
    <xf numFmtId="193" fontId="13" fillId="34" borderId="68" xfId="0" applyNumberFormat="1" applyFont="1" applyFill="1" applyBorder="1" applyAlignment="1" applyProtection="1">
      <alignment horizontal="center" vertical="top" wrapText="1"/>
      <protection hidden="1"/>
    </xf>
    <xf numFmtId="0" fontId="0" fillId="28" borderId="33" xfId="0" applyFont="1" applyFill="1" applyBorder="1" applyAlignment="1" applyProtection="1">
      <alignment horizontal="center" vertical="center"/>
      <protection hidden="1"/>
    </xf>
    <xf numFmtId="0" fontId="0" fillId="28" borderId="10" xfId="0" applyFill="1" applyBorder="1" applyAlignment="1" applyProtection="1">
      <alignment horizontal="center" vertical="center"/>
      <protection hidden="1"/>
    </xf>
    <xf numFmtId="0" fontId="0" fillId="28" borderId="33" xfId="0" applyFill="1" applyBorder="1" applyAlignment="1" applyProtection="1">
      <alignment horizontal="center" vertical="center"/>
      <protection hidden="1"/>
    </xf>
    <xf numFmtId="0" fontId="0" fillId="28" borderId="33" xfId="0" applyFill="1" applyBorder="1" applyAlignment="1" applyProtection="1">
      <alignment horizontal="center"/>
      <protection hidden="1"/>
    </xf>
    <xf numFmtId="0" fontId="0" fillId="28" borderId="47" xfId="0" applyFill="1" applyBorder="1" applyAlignment="1" applyProtection="1">
      <alignment horizontal="center" vertical="center"/>
      <protection hidden="1"/>
    </xf>
    <xf numFmtId="0" fontId="0" fillId="28" borderId="12" xfId="0" applyFill="1" applyBorder="1" applyAlignment="1" applyProtection="1">
      <alignment horizontal="center" vertical="center"/>
      <protection hidden="1"/>
    </xf>
    <xf numFmtId="0" fontId="0" fillId="28" borderId="69" xfId="0" applyFill="1" applyBorder="1" applyAlignment="1" applyProtection="1">
      <alignment horizontal="center" vertical="center"/>
      <protection hidden="1"/>
    </xf>
    <xf numFmtId="0" fontId="0" fillId="28" borderId="36" xfId="0" applyFill="1" applyBorder="1" applyAlignment="1" applyProtection="1">
      <alignment horizontal="center" vertical="center"/>
      <protection hidden="1"/>
    </xf>
    <xf numFmtId="0" fontId="0" fillId="28" borderId="48" xfId="0" applyFill="1" applyBorder="1" applyAlignment="1" applyProtection="1">
      <alignment horizontal="center"/>
      <protection hidden="1"/>
    </xf>
    <xf numFmtId="0" fontId="0" fillId="28" borderId="70" xfId="0" applyFill="1" applyBorder="1" applyAlignment="1" applyProtection="1">
      <alignment horizontal="center"/>
      <protection hidden="1"/>
    </xf>
    <xf numFmtId="0" fontId="0" fillId="28" borderId="51" xfId="0" applyFill="1" applyBorder="1" applyAlignment="1" applyProtection="1">
      <alignment horizont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30" xfId="0" applyFont="1" applyFill="1" applyBorder="1" applyAlignment="1" applyProtection="1">
      <alignment horizontal="center" vertical="center"/>
      <protection hidden="1"/>
    </xf>
    <xf numFmtId="0" fontId="10" fillId="35" borderId="32" xfId="0" applyFont="1" applyFill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left"/>
      <protection hidden="1"/>
    </xf>
    <xf numFmtId="0" fontId="20" fillId="0" borderId="10" xfId="0" applyFont="1" applyBorder="1" applyAlignment="1" applyProtection="1">
      <alignment horizontal="left"/>
      <protection hidden="1"/>
    </xf>
    <xf numFmtId="0" fontId="20" fillId="0" borderId="13" xfId="0" applyFont="1" applyBorder="1" applyAlignment="1" applyProtection="1">
      <alignment horizontal="left"/>
      <protection hidden="1"/>
    </xf>
    <xf numFmtId="0" fontId="20" fillId="39" borderId="21" xfId="0" applyFont="1" applyFill="1" applyBorder="1" applyAlignment="1" applyProtection="1">
      <alignment horizontal="center"/>
      <protection hidden="1"/>
    </xf>
    <xf numFmtId="0" fontId="20" fillId="39" borderId="22" xfId="0" applyFont="1" applyFill="1" applyBorder="1" applyAlignment="1" applyProtection="1">
      <alignment horizontal="center"/>
      <protection hidden="1"/>
    </xf>
    <xf numFmtId="0" fontId="20" fillId="39" borderId="25" xfId="0" applyFont="1" applyFill="1" applyBorder="1" applyAlignment="1" applyProtection="1">
      <alignment horizontal="center"/>
      <protection hidden="1"/>
    </xf>
    <xf numFmtId="0" fontId="19" fillId="34" borderId="12" xfId="0" applyFont="1" applyFill="1" applyBorder="1" applyAlignment="1" applyProtection="1">
      <alignment horizontal="center"/>
      <protection hidden="1"/>
    </xf>
    <xf numFmtId="0" fontId="19" fillId="34" borderId="10" xfId="0" applyFont="1" applyFill="1" applyBorder="1" applyAlignment="1" applyProtection="1">
      <alignment horizontal="center"/>
      <protection hidden="1"/>
    </xf>
    <xf numFmtId="0" fontId="19" fillId="34" borderId="71" xfId="0" applyFont="1" applyFill="1" applyBorder="1" applyAlignment="1" applyProtection="1">
      <alignment horizontal="center"/>
      <protection hidden="1"/>
    </xf>
    <xf numFmtId="0" fontId="19" fillId="34" borderId="17" xfId="0" applyFont="1" applyFill="1" applyBorder="1" applyAlignment="1" applyProtection="1">
      <alignment horizontal="center"/>
      <protection hidden="1"/>
    </xf>
    <xf numFmtId="0" fontId="0" fillId="28" borderId="36" xfId="0" applyFont="1" applyFill="1" applyBorder="1" applyAlignment="1" applyProtection="1">
      <alignment horizontal="center" vertical="center"/>
      <protection hidden="1"/>
    </xf>
    <xf numFmtId="0" fontId="0" fillId="28" borderId="34" xfId="0" applyFont="1" applyFill="1" applyBorder="1" applyAlignment="1" applyProtection="1">
      <alignment horizontal="center"/>
      <protection hidden="1"/>
    </xf>
    <xf numFmtId="0" fontId="0" fillId="28" borderId="26" xfId="0" applyFont="1" applyFill="1" applyBorder="1" applyAlignment="1" applyProtection="1">
      <alignment horizontal="center"/>
      <protection hidden="1"/>
    </xf>
    <xf numFmtId="0" fontId="0" fillId="28" borderId="72" xfId="0" applyFont="1" applyFill="1" applyBorder="1" applyAlignment="1" applyProtection="1">
      <alignment horizontal="center"/>
      <protection hidden="1"/>
    </xf>
    <xf numFmtId="0" fontId="0" fillId="28" borderId="49" xfId="0" applyFont="1" applyFill="1" applyBorder="1" applyAlignment="1" applyProtection="1">
      <alignment horizontal="center" vertical="center"/>
      <protection hidden="1"/>
    </xf>
    <xf numFmtId="0" fontId="0" fillId="28" borderId="50" xfId="0" applyFont="1" applyFill="1" applyBorder="1" applyAlignment="1" applyProtection="1">
      <alignment horizontal="center" vertical="center"/>
      <protection hidden="1"/>
    </xf>
    <xf numFmtId="0" fontId="0" fillId="28" borderId="35" xfId="0" applyFont="1" applyFill="1" applyBorder="1" applyAlignment="1" applyProtection="1">
      <alignment horizontal="center" vertical="center"/>
      <protection hidden="1"/>
    </xf>
    <xf numFmtId="0" fontId="19" fillId="34" borderId="34" xfId="0" applyFont="1" applyFill="1" applyBorder="1" applyAlignment="1" applyProtection="1">
      <alignment horizontal="center"/>
      <protection hidden="1"/>
    </xf>
    <xf numFmtId="0" fontId="19" fillId="34" borderId="26" xfId="0" applyFont="1" applyFill="1" applyBorder="1" applyAlignment="1" applyProtection="1">
      <alignment horizontal="center"/>
      <protection hidden="1"/>
    </xf>
    <xf numFmtId="0" fontId="19" fillId="34" borderId="72" xfId="0" applyFont="1" applyFill="1" applyBorder="1" applyAlignment="1" applyProtection="1">
      <alignment horizontal="center"/>
      <protection hidden="1"/>
    </xf>
    <xf numFmtId="0" fontId="19" fillId="34" borderId="16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15" fillId="35" borderId="52" xfId="0" applyFont="1" applyFill="1" applyBorder="1" applyAlignment="1" applyProtection="1">
      <alignment horizontal="center"/>
      <protection hidden="1"/>
    </xf>
    <xf numFmtId="0" fontId="15" fillId="35" borderId="53" xfId="0" applyFont="1" applyFill="1" applyBorder="1" applyAlignment="1" applyProtection="1">
      <alignment horizontal="center"/>
      <protection hidden="1"/>
    </xf>
    <xf numFmtId="0" fontId="15" fillId="35" borderId="73" xfId="0" applyFont="1" applyFill="1" applyBorder="1" applyAlignment="1" applyProtection="1">
      <alignment horizontal="center"/>
      <protection hidden="1"/>
    </xf>
    <xf numFmtId="0" fontId="15" fillId="35" borderId="74" xfId="0" applyFont="1" applyFill="1" applyBorder="1" applyAlignment="1" applyProtection="1">
      <alignment horizontal="center"/>
      <protection hidden="1"/>
    </xf>
    <xf numFmtId="0" fontId="0" fillId="28" borderId="3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33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35" borderId="28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/>
    </xf>
    <xf numFmtId="0" fontId="20" fillId="39" borderId="22" xfId="0" applyFont="1" applyFill="1" applyBorder="1" applyAlignment="1">
      <alignment horizontal="center"/>
    </xf>
    <xf numFmtId="0" fontId="20" fillId="39" borderId="25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0" fillId="28" borderId="47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33" xfId="0" applyFill="1" applyBorder="1" applyAlignment="1">
      <alignment horizontal="center"/>
    </xf>
    <xf numFmtId="0" fontId="0" fillId="28" borderId="69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8" borderId="48" xfId="0" applyFill="1" applyBorder="1" applyAlignment="1">
      <alignment horizontal="center"/>
    </xf>
    <xf numFmtId="0" fontId="0" fillId="28" borderId="70" xfId="0" applyFill="1" applyBorder="1" applyAlignment="1">
      <alignment horizontal="center"/>
    </xf>
    <xf numFmtId="0" fontId="0" fillId="28" borderId="51" xfId="0" applyFill="1" applyBorder="1" applyAlignment="1">
      <alignment horizontal="center"/>
    </xf>
    <xf numFmtId="0" fontId="0" fillId="28" borderId="3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0" fillId="28" borderId="49" xfId="0" applyFill="1" applyBorder="1" applyAlignment="1">
      <alignment horizontal="center" vertical="center"/>
    </xf>
    <xf numFmtId="0" fontId="0" fillId="28" borderId="49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19" fillId="34" borderId="72" xfId="0" applyFont="1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8" borderId="26" xfId="0" applyFill="1" applyBorder="1" applyAlignment="1">
      <alignment horizontal="center"/>
    </xf>
    <xf numFmtId="0" fontId="0" fillId="28" borderId="72" xfId="0" applyFill="1" applyBorder="1" applyAlignment="1">
      <alignment horizontal="center"/>
    </xf>
    <xf numFmtId="0" fontId="0" fillId="28" borderId="75" xfId="0" applyFill="1" applyBorder="1" applyAlignment="1">
      <alignment horizontal="center" vertical="center"/>
    </xf>
    <xf numFmtId="0" fontId="15" fillId="35" borderId="52" xfId="0" applyFont="1" applyFill="1" applyBorder="1" applyAlignment="1">
      <alignment horizontal="center"/>
    </xf>
    <xf numFmtId="0" fontId="15" fillId="35" borderId="53" xfId="0" applyFont="1" applyFill="1" applyBorder="1" applyAlignment="1">
      <alignment horizontal="center"/>
    </xf>
    <xf numFmtId="0" fontId="15" fillId="35" borderId="73" xfId="0" applyFont="1" applyFill="1" applyBorder="1" applyAlignment="1">
      <alignment horizontal="center"/>
    </xf>
    <xf numFmtId="0" fontId="15" fillId="35" borderId="74" xfId="0" applyFont="1" applyFill="1" applyBorder="1" applyAlignment="1">
      <alignment horizontal="center"/>
    </xf>
    <xf numFmtId="0" fontId="0" fillId="28" borderId="34" xfId="0" applyFont="1" applyFill="1" applyBorder="1" applyAlignment="1">
      <alignment horizontal="center"/>
    </xf>
    <xf numFmtId="0" fontId="0" fillId="28" borderId="26" xfId="0" applyFont="1" applyFill="1" applyBorder="1" applyAlignment="1">
      <alignment horizontal="center"/>
    </xf>
    <xf numFmtId="0" fontId="0" fillId="28" borderId="72" xfId="0" applyFont="1" applyFill="1" applyBorder="1" applyAlignment="1">
      <alignment horizontal="center"/>
    </xf>
    <xf numFmtId="0" fontId="0" fillId="28" borderId="50" xfId="0" applyFont="1" applyFill="1" applyBorder="1" applyAlignment="1">
      <alignment horizontal="center" vertical="center"/>
    </xf>
    <xf numFmtId="0" fontId="0" fillId="28" borderId="35" xfId="0" applyFont="1" applyFill="1" applyBorder="1" applyAlignment="1">
      <alignment horizontal="center" vertical="center"/>
    </xf>
    <xf numFmtId="0" fontId="0" fillId="28" borderId="75" xfId="0" applyFill="1" applyBorder="1" applyAlignment="1" applyProtection="1">
      <alignment horizontal="center" vertical="center"/>
      <protection hidden="1"/>
    </xf>
    <xf numFmtId="0" fontId="0" fillId="28" borderId="49" xfId="0" applyFill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left"/>
      <protection hidden="1"/>
    </xf>
    <xf numFmtId="0" fontId="20" fillId="0" borderId="26" xfId="0" applyFont="1" applyBorder="1" applyAlignment="1" applyProtection="1">
      <alignment horizontal="left"/>
      <protection hidden="1"/>
    </xf>
    <xf numFmtId="0" fontId="20" fillId="0" borderId="27" xfId="0" applyFont="1" applyBorder="1" applyAlignment="1" applyProtection="1">
      <alignment horizontal="left"/>
      <protection hidden="1"/>
    </xf>
    <xf numFmtId="0" fontId="0" fillId="28" borderId="34" xfId="0" applyFill="1" applyBorder="1" applyAlignment="1" applyProtection="1">
      <alignment horizontal="center"/>
      <protection hidden="1"/>
    </xf>
    <xf numFmtId="0" fontId="0" fillId="28" borderId="26" xfId="0" applyFill="1" applyBorder="1" applyAlignment="1" applyProtection="1">
      <alignment horizontal="center"/>
      <protection hidden="1"/>
    </xf>
    <xf numFmtId="0" fontId="0" fillId="28" borderId="72" xfId="0" applyFill="1" applyBorder="1" applyAlignment="1" applyProtection="1">
      <alignment horizontal="center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1" fillId="34" borderId="31" xfId="0" applyFont="1" applyFill="1" applyBorder="1" applyAlignment="1" applyProtection="1">
      <alignment horizontal="center" vertical="center" wrapText="1"/>
      <protection hidden="1"/>
    </xf>
    <xf numFmtId="0" fontId="11" fillId="34" borderId="19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72" xfId="0" applyFont="1" applyFill="1" applyBorder="1" applyAlignment="1" applyProtection="1">
      <alignment horizontal="center" vertical="center" wrapText="1"/>
      <protection hidden="1"/>
    </xf>
    <xf numFmtId="0" fontId="1" fillId="0" borderId="76" xfId="0" applyFont="1" applyFill="1" applyBorder="1" applyAlignment="1" applyProtection="1">
      <alignment horizontal="center" vertical="center" wrapText="1"/>
      <protection hidden="1"/>
    </xf>
    <xf numFmtId="0" fontId="1" fillId="0" borderId="77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63" fillId="36" borderId="31" xfId="0" applyFont="1" applyFill="1" applyBorder="1" applyAlignment="1" applyProtection="1">
      <alignment horizontal="center" vertical="center" wrapText="1"/>
      <protection hidden="1"/>
    </xf>
    <xf numFmtId="0" fontId="63" fillId="36" borderId="19" xfId="0" applyFont="1" applyFill="1" applyBorder="1" applyAlignment="1" applyProtection="1">
      <alignment horizontal="center" vertical="center" wrapText="1"/>
      <protection hidden="1"/>
    </xf>
    <xf numFmtId="0" fontId="63" fillId="36" borderId="20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 wrapText="1"/>
      <protection hidden="1"/>
    </xf>
    <xf numFmtId="0" fontId="0" fillId="0" borderId="53" xfId="0" applyFont="1" applyBorder="1" applyAlignment="1" applyProtection="1">
      <alignment horizontal="center" wrapText="1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71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73" xfId="0" applyFont="1" applyFill="1" applyBorder="1" applyAlignment="1" applyProtection="1">
      <alignment horizontal="center" vertical="center" wrapText="1"/>
      <protection hidden="1"/>
    </xf>
    <xf numFmtId="0" fontId="11" fillId="0" borderId="74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65" fillId="34" borderId="18" xfId="0" applyFont="1" applyFill="1" applyBorder="1" applyAlignment="1" applyProtection="1">
      <alignment horizontal="center" vertical="center" wrapText="1"/>
      <protection hidden="1"/>
    </xf>
    <xf numFmtId="0" fontId="65" fillId="34" borderId="19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14" fontId="7" fillId="0" borderId="22" xfId="0" applyNumberFormat="1" applyFont="1" applyFill="1" applyBorder="1" applyAlignment="1" applyProtection="1">
      <alignment horizontal="left" vertical="center"/>
      <protection hidden="1"/>
    </xf>
    <xf numFmtId="0" fontId="7" fillId="0" borderId="25" xfId="0" applyFont="1" applyFill="1" applyBorder="1" applyAlignment="1" applyProtection="1">
      <alignment horizontal="left" vertical="center"/>
      <protection hidden="1"/>
    </xf>
    <xf numFmtId="10" fontId="7" fillId="37" borderId="26" xfId="62" applyNumberFormat="1" applyFont="1" applyFill="1" applyBorder="1" applyAlignment="1" applyProtection="1">
      <alignment horizontal="center" vertical="center"/>
      <protection locked="0"/>
    </xf>
    <xf numFmtId="10" fontId="7" fillId="37" borderId="27" xfId="62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73" xfId="0" applyFont="1" applyFill="1" applyBorder="1" applyAlignment="1" applyProtection="1">
      <alignment horizontal="center" vertical="center" wrapText="1"/>
      <protection hidden="1"/>
    </xf>
    <xf numFmtId="0" fontId="7" fillId="0" borderId="74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right" vertical="center" wrapText="1"/>
      <protection hidden="1"/>
    </xf>
    <xf numFmtId="0" fontId="10" fillId="0" borderId="19" xfId="0" applyFont="1" applyBorder="1" applyAlignment="1" applyProtection="1">
      <alignment horizontal="right" vertical="center" wrapText="1"/>
      <protection hidden="1"/>
    </xf>
    <xf numFmtId="0" fontId="10" fillId="0" borderId="20" xfId="0" applyFont="1" applyBorder="1" applyAlignment="1" applyProtection="1">
      <alignment horizontal="right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72" xfId="0" applyFont="1" applyFill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 wrapText="1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7" fillId="34" borderId="72" xfId="0" applyFont="1" applyFill="1" applyBorder="1" applyAlignment="1" applyProtection="1">
      <alignment horizontal="center" vertical="center" wrapText="1"/>
      <protection hidden="1"/>
    </xf>
    <xf numFmtId="195" fontId="0" fillId="33" borderId="0" xfId="0" applyNumberFormat="1" applyFill="1" applyBorder="1" applyAlignment="1" applyProtection="1">
      <alignment horizontal="center"/>
      <protection hidden="1"/>
    </xf>
    <xf numFmtId="195" fontId="0" fillId="33" borderId="11" xfId="0" applyNumberFormat="1" applyFill="1" applyBorder="1" applyAlignment="1" applyProtection="1">
      <alignment horizontal="center"/>
      <protection hidden="1"/>
    </xf>
    <xf numFmtId="0" fontId="7" fillId="0" borderId="78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 wrapText="1"/>
      <protection hidden="1"/>
    </xf>
    <xf numFmtId="0" fontId="5" fillId="0" borderId="53" xfId="0" applyFont="1" applyBorder="1" applyAlignment="1" applyProtection="1">
      <alignment horizontal="center" wrapText="1"/>
      <protection hidden="1"/>
    </xf>
    <xf numFmtId="4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71" xfId="0" applyFont="1" applyFill="1" applyBorder="1" applyAlignment="1" applyProtection="1">
      <alignment horizontal="center" vertical="center" wrapText="1"/>
      <protection hidden="1"/>
    </xf>
    <xf numFmtId="0" fontId="11" fillId="34" borderId="79" xfId="0" applyFont="1" applyFill="1" applyBorder="1" applyAlignment="1" applyProtection="1">
      <alignment horizontal="center" vertical="center" wrapText="1"/>
      <protection hidden="1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1" fillId="34" borderId="40" xfId="0" applyFont="1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7" fillId="35" borderId="24" xfId="0" applyFont="1" applyFill="1" applyBorder="1" applyAlignment="1" applyProtection="1">
      <alignment horizontal="right" vertical="center"/>
      <protection hidden="1"/>
    </xf>
    <xf numFmtId="0" fontId="7" fillId="35" borderId="22" xfId="0" applyFont="1" applyFill="1" applyBorder="1" applyAlignment="1" applyProtection="1">
      <alignment horizontal="right" vertical="center"/>
      <protection hidden="1"/>
    </xf>
    <xf numFmtId="44" fontId="7" fillId="35" borderId="60" xfId="62" applyNumberFormat="1" applyFont="1" applyFill="1" applyBorder="1" applyAlignment="1" applyProtection="1">
      <alignment horizontal="center" vertical="center"/>
      <protection hidden="1"/>
    </xf>
    <xf numFmtId="44" fontId="7" fillId="35" borderId="80" xfId="62" applyNumberFormat="1" applyFont="1" applyFill="1" applyBorder="1" applyAlignment="1" applyProtection="1">
      <alignment horizontal="center" vertical="center"/>
      <protection hidden="1"/>
    </xf>
    <xf numFmtId="0" fontId="7" fillId="35" borderId="76" xfId="0" applyFont="1" applyFill="1" applyBorder="1" applyAlignment="1" applyProtection="1">
      <alignment horizontal="left" vertical="center"/>
      <protection hidden="1"/>
    </xf>
    <xf numFmtId="0" fontId="7" fillId="35" borderId="60" xfId="0" applyFont="1" applyFill="1" applyBorder="1" applyAlignment="1" applyProtection="1">
      <alignment horizontal="left" vertical="center"/>
      <protection hidden="1"/>
    </xf>
    <xf numFmtId="0" fontId="11" fillId="33" borderId="28" xfId="0" applyFont="1" applyFill="1" applyBorder="1" applyAlignment="1" applyProtection="1">
      <alignment horizontal="center" vertical="center"/>
      <protection hidden="1"/>
    </xf>
    <xf numFmtId="0" fontId="11" fillId="33" borderId="30" xfId="0" applyFont="1" applyFill="1" applyBorder="1" applyAlignment="1" applyProtection="1">
      <alignment horizontal="center" vertical="center"/>
      <protection hidden="1"/>
    </xf>
    <xf numFmtId="0" fontId="11" fillId="33" borderId="32" xfId="0" applyFont="1" applyFill="1" applyBorder="1" applyAlignment="1" applyProtection="1">
      <alignment horizontal="center" vertical="center"/>
      <protection hidden="1"/>
    </xf>
    <xf numFmtId="14" fontId="7" fillId="35" borderId="22" xfId="0" applyNumberFormat="1" applyFont="1" applyFill="1" applyBorder="1" applyAlignment="1" applyProtection="1">
      <alignment horizontal="left" vertical="center"/>
      <protection hidden="1"/>
    </xf>
    <xf numFmtId="0" fontId="7" fillId="35" borderId="25" xfId="0" applyFont="1" applyFill="1" applyBorder="1" applyAlignment="1" applyProtection="1">
      <alignment horizontal="left" vertical="center"/>
      <protection hidden="1"/>
    </xf>
    <xf numFmtId="1" fontId="0" fillId="33" borderId="12" xfId="0" applyNumberFormat="1" applyFill="1" applyBorder="1" applyAlignment="1" applyProtection="1">
      <alignment horizontal="center" vertical="center" wrapText="1"/>
      <protection hidden="1"/>
    </xf>
  </cellXfs>
  <cellStyles count="8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3 2" xfId="51"/>
    <cellStyle name="Moeda 4" xfId="52"/>
    <cellStyle name="Moeda 5" xfId="53"/>
    <cellStyle name="Moeda 6" xfId="54"/>
    <cellStyle name="Neutra" xfId="55"/>
    <cellStyle name="Normal 2" xfId="56"/>
    <cellStyle name="Normal 2 2" xfId="57"/>
    <cellStyle name="Normal 2 2 2" xfId="58"/>
    <cellStyle name="Normal 3" xfId="59"/>
    <cellStyle name="Normal 4" xfId="60"/>
    <cellStyle name="Nota" xfId="61"/>
    <cellStyle name="Percent" xfId="62"/>
    <cellStyle name="Porcentagem 2" xfId="63"/>
    <cellStyle name="Porcentagem 2 2" xfId="64"/>
    <cellStyle name="Porcentagem 3" xfId="65"/>
    <cellStyle name="Porcentagem 3 2" xfId="66"/>
    <cellStyle name="Porcentagem 4" xfId="67"/>
    <cellStyle name="Porcentagem 5" xfId="68"/>
    <cellStyle name="Porcentagem 6" xfId="69"/>
    <cellStyle name="Porcentagem 8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Vírgula 10" xfId="82"/>
    <cellStyle name="Vírgula 11" xfId="83"/>
    <cellStyle name="Vírgula 2" xfId="84"/>
    <cellStyle name="Vírgula 2 2" xfId="85"/>
    <cellStyle name="Vírgula 2 2 2" xfId="86"/>
    <cellStyle name="Vírgula 2 2 3" xfId="87"/>
    <cellStyle name="Vírgula 2 3" xfId="88"/>
    <cellStyle name="Vírgula 3" xfId="89"/>
    <cellStyle name="Vírgula 3 2" xfId="90"/>
    <cellStyle name="Vírgula 3 2 2" xfId="91"/>
    <cellStyle name="Vírgula 3 3" xfId="92"/>
    <cellStyle name="Vírgula 4" xfId="93"/>
    <cellStyle name="Vírgula 4 2" xfId="94"/>
    <cellStyle name="Vírgula 4 3" xfId="95"/>
    <cellStyle name="Vírgula 5" xfId="96"/>
    <cellStyle name="Vírgula 6" xfId="97"/>
    <cellStyle name="Vírgula 7" xfId="98"/>
    <cellStyle name="Vírgula 8" xfId="99"/>
    <cellStyle name="Vírgula 9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133350</xdr:rowOff>
    </xdr:from>
    <xdr:to>
      <xdr:col>3</xdr:col>
      <xdr:colOff>685800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333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180975</xdr:rowOff>
    </xdr:from>
    <xdr:to>
      <xdr:col>9</xdr:col>
      <xdr:colOff>381000</xdr:colOff>
      <xdr:row>0</xdr:row>
      <xdr:rowOff>809625</xdr:rowOff>
    </xdr:to>
    <xdr:sp>
      <xdr:nvSpPr>
        <xdr:cNvPr id="2" name="Rectangle 14"/>
        <xdr:cNvSpPr>
          <a:spLocks/>
        </xdr:cNvSpPr>
      </xdr:nvSpPr>
      <xdr:spPr>
        <a:xfrm>
          <a:off x="2905125" y="180975"/>
          <a:ext cx="6781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39</xdr:row>
      <xdr:rowOff>657225</xdr:rowOff>
    </xdr:from>
    <xdr:to>
      <xdr:col>9</xdr:col>
      <xdr:colOff>704850</xdr:colOff>
      <xdr:row>40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733550" y="8505825"/>
          <a:ext cx="8277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 - MINAS GERAIS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 18.017.392/0001-67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Doutor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Rockert, 92 - Centro 39.442-052 - Janaúba/MG
Telefones: (38) 3821-4973 / (38) 3821-4009 | 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prefeitura@janauba.mg.gov.br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800100</xdr:colOff>
      <xdr:row>39</xdr:row>
      <xdr:rowOff>228600</xdr:rowOff>
    </xdr:from>
    <xdr:to>
      <xdr:col>9</xdr:col>
      <xdr:colOff>771525</xdr:colOff>
      <xdr:row>39</xdr:row>
      <xdr:rowOff>228600</xdr:rowOff>
    </xdr:to>
    <xdr:sp>
      <xdr:nvSpPr>
        <xdr:cNvPr id="4" name="Conector reto 8"/>
        <xdr:cNvSpPr>
          <a:spLocks/>
        </xdr:cNvSpPr>
      </xdr:nvSpPr>
      <xdr:spPr>
        <a:xfrm>
          <a:off x="8334375" y="80772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39</xdr:row>
      <xdr:rowOff>276225</xdr:rowOff>
    </xdr:from>
    <xdr:to>
      <xdr:col>10</xdr:col>
      <xdr:colOff>57150</xdr:colOff>
      <xdr:row>39</xdr:row>
      <xdr:rowOff>609600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8220075" y="8124825"/>
          <a:ext cx="2038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FELIPE BATISTA SILVA                                                                                                                                               ENGº CIVIL  CREA MG: 251548/D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133350</xdr:rowOff>
    </xdr:from>
    <xdr:to>
      <xdr:col>3</xdr:col>
      <xdr:colOff>685800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333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180975</xdr:rowOff>
    </xdr:from>
    <xdr:to>
      <xdr:col>9</xdr:col>
      <xdr:colOff>381000</xdr:colOff>
      <xdr:row>0</xdr:row>
      <xdr:rowOff>809625</xdr:rowOff>
    </xdr:to>
    <xdr:sp>
      <xdr:nvSpPr>
        <xdr:cNvPr id="2" name="Rectangle 14"/>
        <xdr:cNvSpPr>
          <a:spLocks/>
        </xdr:cNvSpPr>
      </xdr:nvSpPr>
      <xdr:spPr>
        <a:xfrm>
          <a:off x="2905125" y="180975"/>
          <a:ext cx="6781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39</xdr:row>
      <xdr:rowOff>657225</xdr:rowOff>
    </xdr:from>
    <xdr:to>
      <xdr:col>9</xdr:col>
      <xdr:colOff>704850</xdr:colOff>
      <xdr:row>39</xdr:row>
      <xdr:rowOff>1133475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733550" y="8515350"/>
          <a:ext cx="8277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 - MINAS GERAIS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 18.017.392/0001-67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Doutor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Rockert, 92 - Centro 39.442-052 - Janaúba/MG
Telefones: (38) 3821-4973 / (38) 3821-4009 | 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prefeitura@janauba.mg.gov.br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800100</xdr:colOff>
      <xdr:row>39</xdr:row>
      <xdr:rowOff>276225</xdr:rowOff>
    </xdr:from>
    <xdr:to>
      <xdr:col>9</xdr:col>
      <xdr:colOff>771525</xdr:colOff>
      <xdr:row>39</xdr:row>
      <xdr:rowOff>276225</xdr:rowOff>
    </xdr:to>
    <xdr:sp>
      <xdr:nvSpPr>
        <xdr:cNvPr id="4" name="Conector reto 4"/>
        <xdr:cNvSpPr>
          <a:spLocks/>
        </xdr:cNvSpPr>
      </xdr:nvSpPr>
      <xdr:spPr>
        <a:xfrm>
          <a:off x="8334375" y="81343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39</xdr:row>
      <xdr:rowOff>276225</xdr:rowOff>
    </xdr:from>
    <xdr:to>
      <xdr:col>10</xdr:col>
      <xdr:colOff>57150</xdr:colOff>
      <xdr:row>39</xdr:row>
      <xdr:rowOff>609600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8220075" y="8134350"/>
          <a:ext cx="2038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FELIPE BATISTA SILVA                                                                                                                                               ENGº CIVIL  CREA MG: 251548/D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133350</xdr:rowOff>
    </xdr:from>
    <xdr:to>
      <xdr:col>3</xdr:col>
      <xdr:colOff>685800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333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180975</xdr:rowOff>
    </xdr:from>
    <xdr:to>
      <xdr:col>9</xdr:col>
      <xdr:colOff>381000</xdr:colOff>
      <xdr:row>0</xdr:row>
      <xdr:rowOff>809625</xdr:rowOff>
    </xdr:to>
    <xdr:sp>
      <xdr:nvSpPr>
        <xdr:cNvPr id="2" name="Rectangle 14"/>
        <xdr:cNvSpPr>
          <a:spLocks/>
        </xdr:cNvSpPr>
      </xdr:nvSpPr>
      <xdr:spPr>
        <a:xfrm>
          <a:off x="2905125" y="180975"/>
          <a:ext cx="6781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37</xdr:row>
      <xdr:rowOff>657225</xdr:rowOff>
    </xdr:from>
    <xdr:to>
      <xdr:col>9</xdr:col>
      <xdr:colOff>704850</xdr:colOff>
      <xdr:row>38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733550" y="8143875"/>
          <a:ext cx="8277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 - MINAS GERAIS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 18.017.392/0001-67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Doutor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Rockert, 92 - Centro 39.442-052 - Janaúba/MG
Telefones: (38) 3821-4973 / (38) 3821-4009 | 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prefeitura@janauba.mg.gov.br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800100</xdr:colOff>
      <xdr:row>37</xdr:row>
      <xdr:rowOff>285750</xdr:rowOff>
    </xdr:from>
    <xdr:to>
      <xdr:col>9</xdr:col>
      <xdr:colOff>771525</xdr:colOff>
      <xdr:row>37</xdr:row>
      <xdr:rowOff>285750</xdr:rowOff>
    </xdr:to>
    <xdr:sp>
      <xdr:nvSpPr>
        <xdr:cNvPr id="4" name="Conector reto 4"/>
        <xdr:cNvSpPr>
          <a:spLocks/>
        </xdr:cNvSpPr>
      </xdr:nvSpPr>
      <xdr:spPr>
        <a:xfrm>
          <a:off x="8334375" y="7772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37</xdr:row>
      <xdr:rowOff>285750</xdr:rowOff>
    </xdr:from>
    <xdr:to>
      <xdr:col>10</xdr:col>
      <xdr:colOff>57150</xdr:colOff>
      <xdr:row>37</xdr:row>
      <xdr:rowOff>609600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8220075" y="7772400"/>
          <a:ext cx="2038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FELIPE BATISTA SILVA                                                                                                                                               ENGº CIVIL  CREA MG: 251548/D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133350</xdr:rowOff>
    </xdr:from>
    <xdr:to>
      <xdr:col>3</xdr:col>
      <xdr:colOff>685800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333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180975</xdr:rowOff>
    </xdr:from>
    <xdr:to>
      <xdr:col>9</xdr:col>
      <xdr:colOff>381000</xdr:colOff>
      <xdr:row>0</xdr:row>
      <xdr:rowOff>809625</xdr:rowOff>
    </xdr:to>
    <xdr:sp>
      <xdr:nvSpPr>
        <xdr:cNvPr id="2" name="Rectangle 14"/>
        <xdr:cNvSpPr>
          <a:spLocks/>
        </xdr:cNvSpPr>
      </xdr:nvSpPr>
      <xdr:spPr>
        <a:xfrm>
          <a:off x="2905125" y="180975"/>
          <a:ext cx="6781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29</xdr:row>
      <xdr:rowOff>676275</xdr:rowOff>
    </xdr:from>
    <xdr:to>
      <xdr:col>9</xdr:col>
      <xdr:colOff>704850</xdr:colOff>
      <xdr:row>30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733550" y="6819900"/>
          <a:ext cx="8277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 - MINAS GERAIS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 18.017.392/0001-67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Doutor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Rockert, 92 - Centro 39.442-052 - Janaúba/MG
Telefones: (38) 3821-4973 / (38) 3821-4009 | 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prefeitura@janauba.mg.gov.br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800100</xdr:colOff>
      <xdr:row>29</xdr:row>
      <xdr:rowOff>304800</xdr:rowOff>
    </xdr:from>
    <xdr:to>
      <xdr:col>9</xdr:col>
      <xdr:colOff>771525</xdr:colOff>
      <xdr:row>29</xdr:row>
      <xdr:rowOff>304800</xdr:rowOff>
    </xdr:to>
    <xdr:sp>
      <xdr:nvSpPr>
        <xdr:cNvPr id="4" name="Conector reto 4"/>
        <xdr:cNvSpPr>
          <a:spLocks/>
        </xdr:cNvSpPr>
      </xdr:nvSpPr>
      <xdr:spPr>
        <a:xfrm>
          <a:off x="8334375" y="64484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29</xdr:row>
      <xdr:rowOff>304800</xdr:rowOff>
    </xdr:from>
    <xdr:to>
      <xdr:col>10</xdr:col>
      <xdr:colOff>57150</xdr:colOff>
      <xdr:row>29</xdr:row>
      <xdr:rowOff>609600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8220075" y="6448425"/>
          <a:ext cx="2038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FELIPE BATISTA SILVA                                                                                                                                               ENGº CIVIL  CREA MG: 251548/D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0</xdr:row>
      <xdr:rowOff>133350</xdr:rowOff>
    </xdr:from>
    <xdr:to>
      <xdr:col>2</xdr:col>
      <xdr:colOff>38100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333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1628775</xdr:colOff>
      <xdr:row>0</xdr:row>
      <xdr:rowOff>180975</xdr:rowOff>
    </xdr:from>
    <xdr:to>
      <xdr:col>8</xdr:col>
      <xdr:colOff>152400</xdr:colOff>
      <xdr:row>0</xdr:row>
      <xdr:rowOff>809625</xdr:rowOff>
    </xdr:to>
    <xdr:sp>
      <xdr:nvSpPr>
        <xdr:cNvPr id="2" name="Rectangle 14"/>
        <xdr:cNvSpPr>
          <a:spLocks/>
        </xdr:cNvSpPr>
      </xdr:nvSpPr>
      <xdr:spPr>
        <a:xfrm>
          <a:off x="2657475" y="180975"/>
          <a:ext cx="56102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152400</xdr:colOff>
      <xdr:row>8</xdr:row>
      <xdr:rowOff>676275</xdr:rowOff>
    </xdr:from>
    <xdr:to>
      <xdr:col>9</xdr:col>
      <xdr:colOff>704850</xdr:colOff>
      <xdr:row>9</xdr:row>
      <xdr:rowOff>9525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181100" y="3524250"/>
          <a:ext cx="867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 - MINAS GERAIS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 18.017.392/0001-67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Doutor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Rockert, 92 - Centro 39.442-052 - Janaúba/MG
Telefones: (38) 3821-4973 / (38) 3821-4009 | 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prefeitura@janauba.mg.gov.br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809625</xdr:colOff>
      <xdr:row>8</xdr:row>
      <xdr:rowOff>304800</xdr:rowOff>
    </xdr:from>
    <xdr:to>
      <xdr:col>9</xdr:col>
      <xdr:colOff>771525</xdr:colOff>
      <xdr:row>8</xdr:row>
      <xdr:rowOff>304800</xdr:rowOff>
    </xdr:to>
    <xdr:sp>
      <xdr:nvSpPr>
        <xdr:cNvPr id="4" name="Conector reto 4"/>
        <xdr:cNvSpPr>
          <a:spLocks/>
        </xdr:cNvSpPr>
      </xdr:nvSpPr>
      <xdr:spPr>
        <a:xfrm>
          <a:off x="7829550" y="31527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8</xdr:row>
      <xdr:rowOff>304800</xdr:rowOff>
    </xdr:from>
    <xdr:to>
      <xdr:col>9</xdr:col>
      <xdr:colOff>895350</xdr:colOff>
      <xdr:row>8</xdr:row>
      <xdr:rowOff>609600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715250" y="3152775"/>
          <a:ext cx="2333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FELIPE BATISTA SILVA                                                                                                                                               ENGº CIVIL  CREA MG: 251548/D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76200</xdr:rowOff>
    </xdr:from>
    <xdr:to>
      <xdr:col>3</xdr:col>
      <xdr:colOff>1790700</xdr:colOff>
      <xdr:row>0</xdr:row>
      <xdr:rowOff>714375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7620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123825</xdr:rowOff>
    </xdr:from>
    <xdr:to>
      <xdr:col>5</xdr:col>
      <xdr:colOff>295275</xdr:colOff>
      <xdr:row>0</xdr:row>
      <xdr:rowOff>752475</xdr:rowOff>
    </xdr:to>
    <xdr:sp>
      <xdr:nvSpPr>
        <xdr:cNvPr id="2" name="Rectangle 14"/>
        <xdr:cNvSpPr>
          <a:spLocks/>
        </xdr:cNvSpPr>
      </xdr:nvSpPr>
      <xdr:spPr>
        <a:xfrm>
          <a:off x="2457450" y="123825"/>
          <a:ext cx="6791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85725</xdr:rowOff>
    </xdr:from>
    <xdr:to>
      <xdr:col>7</xdr:col>
      <xdr:colOff>438150</xdr:colOff>
      <xdr:row>0</xdr:row>
      <xdr:rowOff>733425</xdr:rowOff>
    </xdr:to>
    <xdr:sp>
      <xdr:nvSpPr>
        <xdr:cNvPr id="1" name="Rectangle 14"/>
        <xdr:cNvSpPr>
          <a:spLocks/>
        </xdr:cNvSpPr>
      </xdr:nvSpPr>
      <xdr:spPr>
        <a:xfrm>
          <a:off x="1981200" y="85725"/>
          <a:ext cx="9353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4</xdr:col>
      <xdr:colOff>1571625</xdr:colOff>
      <xdr:row>0</xdr:row>
      <xdr:rowOff>114300</xdr:rowOff>
    </xdr:from>
    <xdr:to>
      <xdr:col>4</xdr:col>
      <xdr:colOff>2362200</xdr:colOff>
      <xdr:row>0</xdr:row>
      <xdr:rowOff>752475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143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0</xdr:row>
      <xdr:rowOff>95250</xdr:rowOff>
    </xdr:from>
    <xdr:to>
      <xdr:col>3</xdr:col>
      <xdr:colOff>1628775</xdr:colOff>
      <xdr:row>0</xdr:row>
      <xdr:rowOff>733425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952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0</xdr:row>
      <xdr:rowOff>123825</xdr:rowOff>
    </xdr:from>
    <xdr:to>
      <xdr:col>6</xdr:col>
      <xdr:colOff>342900</xdr:colOff>
      <xdr:row>1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2609850" y="123825"/>
          <a:ext cx="5076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1219200</xdr:colOff>
      <xdr:row>21</xdr:row>
      <xdr:rowOff>161925</xdr:rowOff>
    </xdr:from>
    <xdr:to>
      <xdr:col>4</xdr:col>
      <xdr:colOff>742950</xdr:colOff>
      <xdr:row>23</xdr:row>
      <xdr:rowOff>19050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14600" y="4629150"/>
          <a:ext cx="3209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133350</xdr:rowOff>
    </xdr:from>
    <xdr:to>
      <xdr:col>5</xdr:col>
      <xdr:colOff>476250</xdr:colOff>
      <xdr:row>0</xdr:row>
      <xdr:rowOff>771525</xdr:rowOff>
    </xdr:to>
    <xdr:sp>
      <xdr:nvSpPr>
        <xdr:cNvPr id="1" name="Rectangle 14"/>
        <xdr:cNvSpPr>
          <a:spLocks/>
        </xdr:cNvSpPr>
      </xdr:nvSpPr>
      <xdr:spPr>
        <a:xfrm>
          <a:off x="2038350" y="133350"/>
          <a:ext cx="8115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ADMINISTRAÇÃO: “UM NOVO TEMPO, UMA NOVA HISTÓRIA” – 2021-2024</a:t>
          </a:r>
          <a:r>
            <a:rPr lang="en-US" cap="none" sz="1050" b="0" i="0" u="none" baseline="0">
              <a:solidFill>
                <a:srgbClr val="000000"/>
              </a:solidFill>
            </a:rPr>
            <a:t>                                       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2</xdr:col>
      <xdr:colOff>1009650</xdr:colOff>
      <xdr:row>0</xdr:row>
      <xdr:rowOff>85725</xdr:rowOff>
    </xdr:from>
    <xdr:to>
      <xdr:col>2</xdr:col>
      <xdr:colOff>1809750</xdr:colOff>
      <xdr:row>0</xdr:row>
      <xdr:rowOff>723900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572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85" zoomScaleNormal="85" zoomScaleSheetLayoutView="85" zoomScalePageLayoutView="0" workbookViewId="0" topLeftCell="A1">
      <selection activeCell="C21" sqref="C21"/>
    </sheetView>
  </sheetViews>
  <sheetFormatPr defaultColWidth="9.140625" defaultRowHeight="12.75"/>
  <cols>
    <col min="1" max="1" width="23.421875" style="0" bestFit="1" customWidth="1"/>
    <col min="2" max="2" width="15.7109375" style="0" customWidth="1"/>
    <col min="3" max="3" width="16.57421875" style="0" customWidth="1"/>
    <col min="4" max="4" width="17.00390625" style="0" bestFit="1" customWidth="1"/>
    <col min="5" max="5" width="13.8515625" style="0" customWidth="1"/>
    <col min="6" max="6" width="14.00390625" style="0" bestFit="1" customWidth="1"/>
    <col min="7" max="7" width="12.421875" style="0" customWidth="1"/>
    <col min="8" max="8" width="12.421875" style="0" bestFit="1" customWidth="1"/>
    <col min="9" max="9" width="14.140625" style="0" bestFit="1" customWidth="1"/>
    <col min="10" max="10" width="13.421875" style="0" bestFit="1" customWidth="1"/>
    <col min="11" max="12" width="12.421875" style="0" bestFit="1" customWidth="1"/>
  </cols>
  <sheetData>
    <row r="1" spans="1:12" ht="70.5" customHeight="1" thickBo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2" ht="33" customHeight="1" thickBot="1">
      <c r="A2" s="262" t="s">
        <v>122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5">
      <c r="A3" s="268" t="s">
        <v>134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5">
      <c r="A4" s="265" t="s">
        <v>72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7"/>
    </row>
    <row r="5" spans="1:12" ht="12.75">
      <c r="A5" s="255" t="s">
        <v>100</v>
      </c>
      <c r="B5" s="253" t="s">
        <v>101</v>
      </c>
      <c r="C5" s="254" t="s">
        <v>102</v>
      </c>
      <c r="D5" s="254"/>
      <c r="E5" s="254"/>
      <c r="F5" s="253" t="s">
        <v>107</v>
      </c>
      <c r="G5" s="253" t="s">
        <v>108</v>
      </c>
      <c r="H5" s="253" t="s">
        <v>177</v>
      </c>
      <c r="I5" s="253" t="s">
        <v>106</v>
      </c>
      <c r="J5" s="251" t="s">
        <v>109</v>
      </c>
      <c r="K5" s="69"/>
      <c r="L5" s="70"/>
    </row>
    <row r="6" spans="1:12" ht="12.75">
      <c r="A6" s="256"/>
      <c r="B6" s="252"/>
      <c r="C6" s="71" t="s">
        <v>103</v>
      </c>
      <c r="D6" s="71" t="s">
        <v>104</v>
      </c>
      <c r="E6" s="71" t="s">
        <v>105</v>
      </c>
      <c r="F6" s="252"/>
      <c r="G6" s="252"/>
      <c r="H6" s="252"/>
      <c r="I6" s="252"/>
      <c r="J6" s="252"/>
      <c r="K6" s="69"/>
      <c r="L6" s="70"/>
    </row>
    <row r="7" spans="1:12" ht="12.75">
      <c r="A7" s="72" t="s">
        <v>131</v>
      </c>
      <c r="B7" s="73">
        <f>172-16</f>
        <v>156</v>
      </c>
      <c r="C7" s="74">
        <v>0.7</v>
      </c>
      <c r="D7" s="73">
        <v>0.6</v>
      </c>
      <c r="E7" s="75">
        <v>0.6</v>
      </c>
      <c r="F7" s="76">
        <f>(E7*2)*D7*C7*B7</f>
        <v>78.62</v>
      </c>
      <c r="G7" s="76">
        <f>(E7*D7*C7*B7)-(C$12*D$12*E7)</f>
        <v>39.29</v>
      </c>
      <c r="H7" s="73"/>
      <c r="I7" s="73">
        <f>C7*D7*B7</f>
        <v>65.52</v>
      </c>
      <c r="J7" s="76">
        <f>B7*C7*D7*E7</f>
        <v>39.31</v>
      </c>
      <c r="K7" s="69"/>
      <c r="L7" s="70"/>
    </row>
    <row r="8" spans="1:12" s="34" customFormat="1" ht="15">
      <c r="A8" s="271" t="s">
        <v>110</v>
      </c>
      <c r="B8" s="272"/>
      <c r="C8" s="272"/>
      <c r="D8" s="272"/>
      <c r="E8" s="272"/>
      <c r="F8" s="77">
        <f>SUM(F7:F7)</f>
        <v>78.62</v>
      </c>
      <c r="G8" s="77">
        <f>SUM(G7:G7)</f>
        <v>39.29</v>
      </c>
      <c r="H8" s="78"/>
      <c r="I8" s="79">
        <f>SUM(I7:I7)</f>
        <v>65.52</v>
      </c>
      <c r="J8" s="77">
        <f>SUM(J7:J7)</f>
        <v>39.31</v>
      </c>
      <c r="K8" s="80"/>
      <c r="L8" s="81"/>
    </row>
    <row r="9" spans="1:12" ht="15">
      <c r="A9" s="265" t="s">
        <v>91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7"/>
    </row>
    <row r="10" spans="1:12" ht="12.75">
      <c r="A10" s="255" t="s">
        <v>100</v>
      </c>
      <c r="B10" s="253" t="s">
        <v>101</v>
      </c>
      <c r="C10" s="254" t="s">
        <v>102</v>
      </c>
      <c r="D10" s="254"/>
      <c r="E10" s="254"/>
      <c r="F10" s="253" t="s">
        <v>177</v>
      </c>
      <c r="G10" s="253" t="s">
        <v>177</v>
      </c>
      <c r="H10" s="251" t="s">
        <v>117</v>
      </c>
      <c r="I10" s="253" t="s">
        <v>177</v>
      </c>
      <c r="J10" s="251" t="s">
        <v>109</v>
      </c>
      <c r="K10" s="69"/>
      <c r="L10" s="70"/>
    </row>
    <row r="11" spans="1:12" ht="12.75">
      <c r="A11" s="256"/>
      <c r="B11" s="252"/>
      <c r="C11" s="71" t="s">
        <v>103</v>
      </c>
      <c r="D11" s="71" t="s">
        <v>104</v>
      </c>
      <c r="E11" s="71" t="s">
        <v>105</v>
      </c>
      <c r="F11" s="252"/>
      <c r="G11" s="252"/>
      <c r="H11" s="252"/>
      <c r="I11" s="252"/>
      <c r="J11" s="252"/>
      <c r="K11" s="69"/>
      <c r="L11" s="70"/>
    </row>
    <row r="12" spans="1:12" ht="12.75">
      <c r="A12" s="72" t="s">
        <v>132</v>
      </c>
      <c r="B12" s="73">
        <f>B7</f>
        <v>156</v>
      </c>
      <c r="C12" s="74">
        <v>0.14</v>
      </c>
      <c r="D12" s="73">
        <v>0.26</v>
      </c>
      <c r="E12" s="75">
        <f>2.4+0.3</f>
        <v>2.7</v>
      </c>
      <c r="F12" s="76"/>
      <c r="G12" s="73"/>
      <c r="H12" s="76">
        <f>(D12*1.1)*E12*B12</f>
        <v>120.46</v>
      </c>
      <c r="I12" s="73"/>
      <c r="J12" s="76">
        <f>B12*C12*D12*E12</f>
        <v>15.33</v>
      </c>
      <c r="K12" s="69"/>
      <c r="L12" s="70"/>
    </row>
    <row r="13" spans="1:12" s="34" customFormat="1" ht="15">
      <c r="A13" s="273" t="s">
        <v>110</v>
      </c>
      <c r="B13" s="274"/>
      <c r="C13" s="274"/>
      <c r="D13" s="274"/>
      <c r="E13" s="274"/>
      <c r="F13" s="274"/>
      <c r="G13" s="274"/>
      <c r="H13" s="77">
        <f>SUM(H12:H12)</f>
        <v>120.46</v>
      </c>
      <c r="I13" s="78"/>
      <c r="J13" s="77">
        <f>SUM(J12:J12)</f>
        <v>15.33</v>
      </c>
      <c r="K13" s="82"/>
      <c r="L13" s="81"/>
    </row>
    <row r="14" spans="1:12" ht="15">
      <c r="A14" s="265" t="s">
        <v>88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7"/>
    </row>
    <row r="15" spans="1:12" ht="12.75">
      <c r="A15" s="257" t="s">
        <v>100</v>
      </c>
      <c r="B15" s="258" t="s">
        <v>101</v>
      </c>
      <c r="C15" s="259" t="s">
        <v>102</v>
      </c>
      <c r="D15" s="260"/>
      <c r="E15" s="261"/>
      <c r="F15" s="258" t="s">
        <v>107</v>
      </c>
      <c r="G15" s="258" t="s">
        <v>177</v>
      </c>
      <c r="H15" s="275" t="s">
        <v>117</v>
      </c>
      <c r="I15" s="258" t="s">
        <v>177</v>
      </c>
      <c r="J15" s="275" t="s">
        <v>109</v>
      </c>
      <c r="K15" s="69"/>
      <c r="L15" s="70"/>
    </row>
    <row r="16" spans="1:12" ht="12.75">
      <c r="A16" s="255"/>
      <c r="B16" s="253"/>
      <c r="C16" s="71" t="s">
        <v>103</v>
      </c>
      <c r="D16" s="71" t="s">
        <v>104</v>
      </c>
      <c r="E16" s="71" t="s">
        <v>105</v>
      </c>
      <c r="F16" s="253"/>
      <c r="G16" s="253"/>
      <c r="H16" s="251"/>
      <c r="I16" s="253"/>
      <c r="J16" s="251"/>
      <c r="K16" s="69"/>
      <c r="L16" s="70"/>
    </row>
    <row r="17" spans="1:12" ht="12.75">
      <c r="A17" s="72" t="s">
        <v>133</v>
      </c>
      <c r="B17" s="73">
        <v>1</v>
      </c>
      <c r="C17" s="74">
        <f>528.12</f>
        <v>528.12</v>
      </c>
      <c r="D17" s="73">
        <v>0.14</v>
      </c>
      <c r="E17" s="73">
        <v>0.26</v>
      </c>
      <c r="F17" s="76">
        <f>C17*D17*0.05</f>
        <v>3.7</v>
      </c>
      <c r="G17" s="73"/>
      <c r="H17" s="76">
        <f>(D17*1.1)*E17*C17</f>
        <v>21.15</v>
      </c>
      <c r="I17" s="73"/>
      <c r="J17" s="76">
        <f>B17*C17*D17*E17</f>
        <v>19.22</v>
      </c>
      <c r="K17" s="69"/>
      <c r="L17" s="70"/>
    </row>
    <row r="18" spans="1:12" s="34" customFormat="1" ht="15">
      <c r="A18" s="271" t="s">
        <v>110</v>
      </c>
      <c r="B18" s="272"/>
      <c r="C18" s="272"/>
      <c r="D18" s="272"/>
      <c r="E18" s="272"/>
      <c r="F18" s="77">
        <f>SUM(F17)</f>
        <v>3.7</v>
      </c>
      <c r="G18" s="83"/>
      <c r="H18" s="77">
        <f>SUM(H17:H17)</f>
        <v>21.15</v>
      </c>
      <c r="I18" s="78"/>
      <c r="J18" s="77">
        <f>SUM(J17:J17)</f>
        <v>19.22</v>
      </c>
      <c r="K18" s="82"/>
      <c r="L18" s="81"/>
    </row>
    <row r="19" spans="1:12" ht="15">
      <c r="A19" s="265" t="s">
        <v>124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7"/>
    </row>
    <row r="20" spans="1:12" ht="12.75">
      <c r="A20" s="257" t="s">
        <v>100</v>
      </c>
      <c r="B20" s="258" t="s">
        <v>101</v>
      </c>
      <c r="C20" s="259" t="s">
        <v>102</v>
      </c>
      <c r="D20" s="260"/>
      <c r="E20" s="261"/>
      <c r="F20" s="258" t="s">
        <v>177</v>
      </c>
      <c r="G20" s="258" t="s">
        <v>177</v>
      </c>
      <c r="H20" s="275" t="s">
        <v>117</v>
      </c>
      <c r="I20" s="258" t="s">
        <v>177</v>
      </c>
      <c r="J20" s="275" t="s">
        <v>109</v>
      </c>
      <c r="K20" s="69"/>
      <c r="L20" s="70"/>
    </row>
    <row r="21" spans="1:12" ht="12" customHeight="1">
      <c r="A21" s="255"/>
      <c r="B21" s="253"/>
      <c r="C21" s="71" t="s">
        <v>103</v>
      </c>
      <c r="D21" s="71" t="s">
        <v>104</v>
      </c>
      <c r="E21" s="71" t="s">
        <v>105</v>
      </c>
      <c r="F21" s="253"/>
      <c r="G21" s="253"/>
      <c r="H21" s="251"/>
      <c r="I21" s="253"/>
      <c r="J21" s="251"/>
      <c r="K21" s="69"/>
      <c r="L21" s="70"/>
    </row>
    <row r="22" spans="1:12" ht="12.75">
      <c r="A22" s="72" t="s">
        <v>125</v>
      </c>
      <c r="B22" s="73"/>
      <c r="C22" s="74">
        <v>516.12</v>
      </c>
      <c r="D22" s="73"/>
      <c r="E22" s="73"/>
      <c r="F22" s="76"/>
      <c r="G22" s="73"/>
      <c r="H22" s="76"/>
      <c r="I22" s="73"/>
      <c r="J22" s="76"/>
      <c r="K22" s="69"/>
      <c r="L22" s="70"/>
    </row>
    <row r="23" spans="1:12" s="34" customFormat="1" ht="15">
      <c r="A23" s="285" t="s">
        <v>110</v>
      </c>
      <c r="B23" s="283"/>
      <c r="C23" s="283"/>
      <c r="D23" s="283"/>
      <c r="E23" s="283"/>
      <c r="F23" s="283"/>
      <c r="G23" s="284"/>
      <c r="H23" s="77"/>
      <c r="I23" s="78"/>
      <c r="J23" s="77"/>
      <c r="K23" s="84"/>
      <c r="L23" s="81"/>
    </row>
    <row r="24" spans="1:12" ht="15">
      <c r="A24" s="265" t="s">
        <v>126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7"/>
    </row>
    <row r="25" spans="1:12" ht="12" customHeight="1">
      <c r="A25" s="255" t="s">
        <v>100</v>
      </c>
      <c r="B25" s="251" t="s">
        <v>123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</row>
    <row r="26" spans="1:12" ht="12.75" customHeight="1">
      <c r="A26" s="256"/>
      <c r="B26" s="252"/>
      <c r="C26" s="69"/>
      <c r="D26" s="69"/>
      <c r="E26" s="69"/>
      <c r="F26" s="69"/>
      <c r="G26" s="69"/>
      <c r="H26" s="69"/>
      <c r="I26" s="69"/>
      <c r="J26" s="69"/>
      <c r="K26" s="69"/>
      <c r="L26" s="70"/>
    </row>
    <row r="27" spans="1:12" ht="12.75" customHeight="1">
      <c r="A27" s="72" t="s">
        <v>130</v>
      </c>
      <c r="B27" s="76">
        <f>(C22*2.2)-((D12*2.2)*B12)</f>
        <v>1046.23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</row>
    <row r="28" spans="1:12" s="34" customFormat="1" ht="15">
      <c r="A28" s="85" t="s">
        <v>110</v>
      </c>
      <c r="B28" s="77">
        <f>B27</f>
        <v>1046.23</v>
      </c>
      <c r="C28" s="84"/>
      <c r="D28" s="84"/>
      <c r="E28" s="84"/>
      <c r="F28" s="84"/>
      <c r="G28" s="84"/>
      <c r="H28" s="84"/>
      <c r="I28" s="84"/>
      <c r="J28" s="84"/>
      <c r="K28" s="84"/>
      <c r="L28" s="86"/>
    </row>
    <row r="29" spans="1:12" ht="15">
      <c r="A29" s="265" t="s">
        <v>135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7"/>
    </row>
    <row r="30" spans="1:12" ht="12" customHeight="1">
      <c r="A30" s="256" t="s">
        <v>100</v>
      </c>
      <c r="B30" s="252" t="s">
        <v>101</v>
      </c>
      <c r="C30" s="276" t="s">
        <v>119</v>
      </c>
      <c r="D30" s="277"/>
      <c r="E30" s="277"/>
      <c r="F30" s="278"/>
      <c r="G30" s="279" t="s">
        <v>114</v>
      </c>
      <c r="H30" s="276" t="s">
        <v>118</v>
      </c>
      <c r="I30" s="277"/>
      <c r="J30" s="277"/>
      <c r="K30" s="278"/>
      <c r="L30" s="280" t="s">
        <v>115</v>
      </c>
    </row>
    <row r="31" spans="1:12" ht="12.75">
      <c r="A31" s="256"/>
      <c r="B31" s="252"/>
      <c r="C31" s="87" t="s">
        <v>111</v>
      </c>
      <c r="D31" s="87" t="s">
        <v>121</v>
      </c>
      <c r="E31" s="87" t="s">
        <v>112</v>
      </c>
      <c r="F31" s="87" t="s">
        <v>113</v>
      </c>
      <c r="G31" s="251"/>
      <c r="H31" s="87" t="s">
        <v>120</v>
      </c>
      <c r="I31" s="87" t="s">
        <v>121</v>
      </c>
      <c r="J31" s="87" t="s">
        <v>112</v>
      </c>
      <c r="K31" s="87" t="s">
        <v>113</v>
      </c>
      <c r="L31" s="281"/>
    </row>
    <row r="32" spans="1:12" ht="12.75">
      <c r="A32" s="72" t="s">
        <v>133</v>
      </c>
      <c r="B32" s="73">
        <v>1</v>
      </c>
      <c r="C32" s="74">
        <v>4</v>
      </c>
      <c r="D32" s="73">
        <f>C17</f>
        <v>528.12</v>
      </c>
      <c r="E32" s="88">
        <v>8</v>
      </c>
      <c r="F32" s="89">
        <v>0.395</v>
      </c>
      <c r="G32" s="76">
        <f>(C32*D32)*B32*F32</f>
        <v>834.43</v>
      </c>
      <c r="H32" s="74">
        <v>0.15</v>
      </c>
      <c r="I32" s="73">
        <v>0.52</v>
      </c>
      <c r="J32" s="88">
        <v>5</v>
      </c>
      <c r="K32" s="89">
        <v>0.154</v>
      </c>
      <c r="L32" s="90">
        <f>(((C17*B32)/H32)*I32)*K32</f>
        <v>281.95</v>
      </c>
    </row>
    <row r="33" spans="1:12" s="52" customFormat="1" ht="15">
      <c r="A33" s="271" t="s">
        <v>110</v>
      </c>
      <c r="B33" s="272"/>
      <c r="C33" s="272"/>
      <c r="D33" s="272"/>
      <c r="E33" s="272"/>
      <c r="F33" s="272"/>
      <c r="G33" s="77">
        <f>SUM(G32:G32)</f>
        <v>834.43</v>
      </c>
      <c r="H33" s="282" t="s">
        <v>110</v>
      </c>
      <c r="I33" s="283"/>
      <c r="J33" s="283"/>
      <c r="K33" s="284"/>
      <c r="L33" s="91">
        <f>SUM(L32:L32)</f>
        <v>281.95</v>
      </c>
    </row>
    <row r="34" spans="1:12" ht="15">
      <c r="A34" s="265" t="s">
        <v>153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7"/>
    </row>
    <row r="35" spans="1:12" ht="12" customHeight="1">
      <c r="A35" s="256" t="s">
        <v>100</v>
      </c>
      <c r="B35" s="252" t="s">
        <v>101</v>
      </c>
      <c r="C35" s="276" t="s">
        <v>119</v>
      </c>
      <c r="D35" s="277"/>
      <c r="E35" s="277"/>
      <c r="F35" s="278"/>
      <c r="G35" s="279" t="s">
        <v>114</v>
      </c>
      <c r="H35" s="69"/>
      <c r="I35" s="69"/>
      <c r="J35" s="69"/>
      <c r="K35" s="69"/>
      <c r="L35" s="70"/>
    </row>
    <row r="36" spans="1:12" ht="12.75">
      <c r="A36" s="256"/>
      <c r="B36" s="252"/>
      <c r="C36" s="87" t="s">
        <v>111</v>
      </c>
      <c r="D36" s="87" t="s">
        <v>121</v>
      </c>
      <c r="E36" s="87" t="s">
        <v>112</v>
      </c>
      <c r="F36" s="87" t="s">
        <v>113</v>
      </c>
      <c r="G36" s="251"/>
      <c r="H36" s="69"/>
      <c r="I36" s="69"/>
      <c r="J36" s="69"/>
      <c r="K36" s="69"/>
      <c r="L36" s="70"/>
    </row>
    <row r="37" spans="1:12" ht="12.75">
      <c r="A37" s="72" t="s">
        <v>125</v>
      </c>
      <c r="B37" s="73">
        <v>1</v>
      </c>
      <c r="C37" s="74">
        <v>2</v>
      </c>
      <c r="D37" s="73">
        <f>C22</f>
        <v>516.12</v>
      </c>
      <c r="E37" s="88">
        <v>8</v>
      </c>
      <c r="F37" s="89">
        <v>0.395</v>
      </c>
      <c r="G37" s="76">
        <f>(C37*D37)*B37*F37</f>
        <v>407.73</v>
      </c>
      <c r="H37" s="69"/>
      <c r="I37" s="69"/>
      <c r="J37" s="69"/>
      <c r="K37" s="69"/>
      <c r="L37" s="70"/>
    </row>
    <row r="38" spans="1:12" s="31" customFormat="1" ht="15.75" thickBot="1">
      <c r="A38" s="271" t="s">
        <v>110</v>
      </c>
      <c r="B38" s="272"/>
      <c r="C38" s="272"/>
      <c r="D38" s="272"/>
      <c r="E38" s="272"/>
      <c r="F38" s="272"/>
      <c r="G38" s="77">
        <f>SUM(G37:G37)</f>
        <v>407.73</v>
      </c>
      <c r="H38" s="84"/>
      <c r="I38" s="84"/>
      <c r="J38" s="84"/>
      <c r="K38" s="84"/>
      <c r="L38" s="86"/>
    </row>
    <row r="39" spans="1:12" ht="24" customHeight="1">
      <c r="A39" s="92" t="s">
        <v>23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90"/>
    </row>
    <row r="40" spans="1:12" ht="89.25" customHeight="1" thickBot="1">
      <c r="A40" s="93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</row>
  </sheetData>
  <sheetProtection password="CEEA" sheet="1"/>
  <mergeCells count="62">
    <mergeCell ref="A1:L1"/>
    <mergeCell ref="B39:L40"/>
    <mergeCell ref="A25:A26"/>
    <mergeCell ref="B25:B26"/>
    <mergeCell ref="A19:L19"/>
    <mergeCell ref="A24:L24"/>
    <mergeCell ref="A20:A21"/>
    <mergeCell ref="A29:L29"/>
    <mergeCell ref="A30:A31"/>
    <mergeCell ref="B30:B31"/>
    <mergeCell ref="C30:F30"/>
    <mergeCell ref="G30:G31"/>
    <mergeCell ref="H30:K30"/>
    <mergeCell ref="L30:L31"/>
    <mergeCell ref="A33:F33"/>
    <mergeCell ref="F20:F21"/>
    <mergeCell ref="G20:G21"/>
    <mergeCell ref="H33:K33"/>
    <mergeCell ref="A23:G23"/>
    <mergeCell ref="A35:A36"/>
    <mergeCell ref="B35:B36"/>
    <mergeCell ref="C35:F35"/>
    <mergeCell ref="G35:G36"/>
    <mergeCell ref="A34:L34"/>
    <mergeCell ref="A38:F38"/>
    <mergeCell ref="I15:I16"/>
    <mergeCell ref="J15:J16"/>
    <mergeCell ref="J20:J21"/>
    <mergeCell ref="I20:I21"/>
    <mergeCell ref="H20:H21"/>
    <mergeCell ref="G15:G16"/>
    <mergeCell ref="H15:H16"/>
    <mergeCell ref="A14:L14"/>
    <mergeCell ref="A3:L3"/>
    <mergeCell ref="A4:L4"/>
    <mergeCell ref="A9:L9"/>
    <mergeCell ref="A18:E18"/>
    <mergeCell ref="B20:B21"/>
    <mergeCell ref="C20:E20"/>
    <mergeCell ref="J10:J11"/>
    <mergeCell ref="A8:E8"/>
    <mergeCell ref="A13:G13"/>
    <mergeCell ref="A15:A16"/>
    <mergeCell ref="B15:B16"/>
    <mergeCell ref="C15:E15"/>
    <mergeCell ref="F15:F16"/>
    <mergeCell ref="A2:L2"/>
    <mergeCell ref="A10:A11"/>
    <mergeCell ref="B10:B11"/>
    <mergeCell ref="C10:E10"/>
    <mergeCell ref="F10:F11"/>
    <mergeCell ref="G10:G11"/>
    <mergeCell ref="H10:H11"/>
    <mergeCell ref="I5:I6"/>
    <mergeCell ref="J5:J6"/>
    <mergeCell ref="C5:E5"/>
    <mergeCell ref="B5:B6"/>
    <mergeCell ref="A5:A6"/>
    <mergeCell ref="F5:F6"/>
    <mergeCell ref="G5:G6"/>
    <mergeCell ref="H5:H6"/>
    <mergeCell ref="I10:I11"/>
  </mergeCells>
  <printOptions/>
  <pageMargins left="0.511811024" right="0.511811024" top="0.787401575" bottom="0.787401575" header="0.31496062" footer="0.31496062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85" zoomScaleNormal="85" zoomScaleSheetLayoutView="85" zoomScalePageLayoutView="0" workbookViewId="0" topLeftCell="A2">
      <selection activeCell="E11" sqref="E11"/>
    </sheetView>
  </sheetViews>
  <sheetFormatPr defaultColWidth="9.140625" defaultRowHeight="12.75"/>
  <cols>
    <col min="1" max="1" width="23.421875" style="0" bestFit="1" customWidth="1"/>
    <col min="2" max="2" width="15.7109375" style="0" customWidth="1"/>
    <col min="3" max="3" width="16.57421875" style="0" customWidth="1"/>
    <col min="4" max="4" width="17.00390625" style="0" bestFit="1" customWidth="1"/>
    <col min="5" max="5" width="13.8515625" style="0" customWidth="1"/>
    <col min="6" max="6" width="14.00390625" style="0" bestFit="1" customWidth="1"/>
    <col min="7" max="7" width="12.421875" style="0" customWidth="1"/>
    <col min="8" max="8" width="12.421875" style="0" bestFit="1" customWidth="1"/>
    <col min="9" max="9" width="14.140625" style="0" bestFit="1" customWidth="1"/>
    <col min="10" max="10" width="13.421875" style="0" bestFit="1" customWidth="1"/>
    <col min="11" max="12" width="12.421875" style="0" bestFit="1" customWidth="1"/>
  </cols>
  <sheetData>
    <row r="1" spans="1:12" ht="70.5" customHeight="1" thickBot="1">
      <c r="A1" s="298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 ht="33" customHeight="1" thickBot="1">
      <c r="A2" s="301" t="s">
        <v>122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1:12" ht="15">
      <c r="A3" s="304" t="s">
        <v>235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6"/>
    </row>
    <row r="4" spans="1:12" ht="15">
      <c r="A4" s="307" t="s">
        <v>72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9"/>
    </row>
    <row r="5" spans="1:12" ht="12.75">
      <c r="A5" s="310" t="s">
        <v>100</v>
      </c>
      <c r="B5" s="293" t="s">
        <v>101</v>
      </c>
      <c r="C5" s="312" t="s">
        <v>102</v>
      </c>
      <c r="D5" s="312"/>
      <c r="E5" s="312"/>
      <c r="F5" s="295" t="s">
        <v>192</v>
      </c>
      <c r="G5" s="293" t="s">
        <v>108</v>
      </c>
      <c r="H5" s="293" t="s">
        <v>177</v>
      </c>
      <c r="I5" s="293" t="s">
        <v>230</v>
      </c>
      <c r="J5" s="295" t="s">
        <v>109</v>
      </c>
      <c r="K5" s="37"/>
      <c r="L5" s="38"/>
    </row>
    <row r="6" spans="1:12" ht="12.75">
      <c r="A6" s="311"/>
      <c r="B6" s="294"/>
      <c r="C6" s="32" t="s">
        <v>103</v>
      </c>
      <c r="D6" s="32" t="s">
        <v>104</v>
      </c>
      <c r="E6" s="32" t="s">
        <v>256</v>
      </c>
      <c r="F6" s="294"/>
      <c r="G6" s="294"/>
      <c r="H6" s="294"/>
      <c r="I6" s="294"/>
      <c r="J6" s="294"/>
      <c r="K6" s="37"/>
      <c r="L6" s="38"/>
    </row>
    <row r="7" spans="1:12" ht="12.75">
      <c r="A7" s="39" t="s">
        <v>229</v>
      </c>
      <c r="B7" s="26">
        <v>22</v>
      </c>
      <c r="C7" s="27">
        <v>0.8</v>
      </c>
      <c r="D7" s="26">
        <v>0.6</v>
      </c>
      <c r="E7" s="53">
        <v>0.6</v>
      </c>
      <c r="F7" s="29">
        <f>(E7*2)*D7*C7*B7</f>
        <v>12.67</v>
      </c>
      <c r="G7" s="29">
        <f>(E7*D7*C7*B7)-(C$12*D$12*E7)</f>
        <v>6.3</v>
      </c>
      <c r="H7" s="26"/>
      <c r="I7" s="26">
        <f>C7*D7*B7</f>
        <v>10.56</v>
      </c>
      <c r="J7" s="29">
        <f>B7*C7*D7*E7</f>
        <v>6.34</v>
      </c>
      <c r="K7" s="37"/>
      <c r="L7" s="38"/>
    </row>
    <row r="8" spans="1:12" s="34" customFormat="1" ht="15">
      <c r="A8" s="296" t="s">
        <v>110</v>
      </c>
      <c r="B8" s="297"/>
      <c r="C8" s="297"/>
      <c r="D8" s="297"/>
      <c r="E8" s="297"/>
      <c r="F8" s="35">
        <f>SUM(F7:F7)</f>
        <v>12.67</v>
      </c>
      <c r="G8" s="35">
        <f>SUM(G7)</f>
        <v>6.3</v>
      </c>
      <c r="H8" s="36"/>
      <c r="I8" s="36">
        <f>I7</f>
        <v>10.56</v>
      </c>
      <c r="J8" s="35">
        <f>SUM(J7:J7)</f>
        <v>6.34</v>
      </c>
      <c r="K8" s="40"/>
      <c r="L8" s="41"/>
    </row>
    <row r="9" spans="1:12" ht="15">
      <c r="A9" s="319" t="s">
        <v>91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1"/>
    </row>
    <row r="10" spans="1:12" ht="12.75">
      <c r="A10" s="330" t="s">
        <v>100</v>
      </c>
      <c r="B10" s="322" t="s">
        <v>101</v>
      </c>
      <c r="C10" s="327" t="s">
        <v>102</v>
      </c>
      <c r="D10" s="328"/>
      <c r="E10" s="329"/>
      <c r="F10" s="322" t="s">
        <v>177</v>
      </c>
      <c r="G10" s="322" t="s">
        <v>177</v>
      </c>
      <c r="H10" s="323" t="s">
        <v>117</v>
      </c>
      <c r="I10" s="322" t="s">
        <v>177</v>
      </c>
      <c r="J10" s="323" t="s">
        <v>109</v>
      </c>
      <c r="K10" s="37"/>
      <c r="L10" s="38"/>
    </row>
    <row r="11" spans="1:12" ht="12.75">
      <c r="A11" s="310"/>
      <c r="B11" s="293"/>
      <c r="C11" s="32" t="s">
        <v>103</v>
      </c>
      <c r="D11" s="32" t="s">
        <v>104</v>
      </c>
      <c r="E11" s="32" t="s">
        <v>105</v>
      </c>
      <c r="F11" s="293"/>
      <c r="G11" s="293"/>
      <c r="H11" s="295"/>
      <c r="I11" s="293"/>
      <c r="J11" s="295"/>
      <c r="K11" s="37"/>
      <c r="L11" s="38"/>
    </row>
    <row r="12" spans="1:12" ht="12.75">
      <c r="A12" s="39" t="s">
        <v>238</v>
      </c>
      <c r="B12" s="26">
        <v>22</v>
      </c>
      <c r="C12" s="27">
        <v>0.2</v>
      </c>
      <c r="D12" s="26">
        <v>0.3</v>
      </c>
      <c r="E12" s="26">
        <f>2.3</f>
        <v>2.3</v>
      </c>
      <c r="F12" s="29"/>
      <c r="G12" s="26"/>
      <c r="H12" s="29">
        <f>(D12*1.1)*E12*B12</f>
        <v>16.7</v>
      </c>
      <c r="I12" s="26"/>
      <c r="J12" s="29">
        <f>B12*C12*D12*E12</f>
        <v>3.04</v>
      </c>
      <c r="K12" s="37"/>
      <c r="L12" s="38"/>
    </row>
    <row r="13" spans="1:12" s="34" customFormat="1" ht="15">
      <c r="A13" s="324" t="s">
        <v>110</v>
      </c>
      <c r="B13" s="325"/>
      <c r="C13" s="325"/>
      <c r="D13" s="325"/>
      <c r="E13" s="325"/>
      <c r="F13" s="325"/>
      <c r="G13" s="326"/>
      <c r="H13" s="35">
        <f>SUM(H12:H12)</f>
        <v>16.7</v>
      </c>
      <c r="I13" s="35"/>
      <c r="J13" s="35">
        <f>SUM(J12:J12)</f>
        <v>3.04</v>
      </c>
      <c r="K13" s="33"/>
      <c r="L13" s="41"/>
    </row>
    <row r="14" spans="1:12" ht="15">
      <c r="A14" s="307" t="s">
        <v>88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9"/>
    </row>
    <row r="15" spans="1:12" ht="12.75">
      <c r="A15" s="313" t="s">
        <v>100</v>
      </c>
      <c r="B15" s="314" t="s">
        <v>101</v>
      </c>
      <c r="C15" s="315" t="s">
        <v>102</v>
      </c>
      <c r="D15" s="316"/>
      <c r="E15" s="317"/>
      <c r="F15" s="314" t="s">
        <v>177</v>
      </c>
      <c r="G15" s="314" t="s">
        <v>177</v>
      </c>
      <c r="H15" s="318" t="s">
        <v>117</v>
      </c>
      <c r="I15" s="314" t="s">
        <v>177</v>
      </c>
      <c r="J15" s="318" t="s">
        <v>109</v>
      </c>
      <c r="K15" s="37"/>
      <c r="L15" s="38"/>
    </row>
    <row r="16" spans="1:12" ht="12.75">
      <c r="A16" s="310"/>
      <c r="B16" s="293"/>
      <c r="C16" s="32" t="s">
        <v>103</v>
      </c>
      <c r="D16" s="32" t="s">
        <v>104</v>
      </c>
      <c r="E16" s="32" t="s">
        <v>105</v>
      </c>
      <c r="F16" s="293"/>
      <c r="G16" s="293"/>
      <c r="H16" s="295"/>
      <c r="I16" s="293"/>
      <c r="J16" s="295"/>
      <c r="K16" s="37"/>
      <c r="L16" s="38"/>
    </row>
    <row r="17" spans="1:12" ht="12.75">
      <c r="A17" s="39" t="s">
        <v>232</v>
      </c>
      <c r="B17" s="26">
        <v>1</v>
      </c>
      <c r="C17" s="27">
        <f>32.4+10+10</f>
        <v>52.4</v>
      </c>
      <c r="D17" s="26">
        <v>0.2</v>
      </c>
      <c r="E17" s="26">
        <v>0.3</v>
      </c>
      <c r="F17" s="29"/>
      <c r="G17" s="26"/>
      <c r="H17" s="29">
        <f>(D17*1.1)*E17*C17</f>
        <v>3.46</v>
      </c>
      <c r="I17" s="26"/>
      <c r="J17" s="29">
        <f>B17*C17*D17*E17</f>
        <v>3.14</v>
      </c>
      <c r="K17" s="37"/>
      <c r="L17" s="38"/>
    </row>
    <row r="18" spans="1:12" s="34" customFormat="1" ht="15">
      <c r="A18" s="296" t="s">
        <v>110</v>
      </c>
      <c r="B18" s="297"/>
      <c r="C18" s="297"/>
      <c r="D18" s="297"/>
      <c r="E18" s="297"/>
      <c r="F18" s="35"/>
      <c r="G18" s="35"/>
      <c r="H18" s="35">
        <f>SUM(H17:H17)</f>
        <v>3.46</v>
      </c>
      <c r="I18" s="35"/>
      <c r="J18" s="35">
        <f>SUM(J17:J17)</f>
        <v>3.14</v>
      </c>
      <c r="K18" s="33"/>
      <c r="L18" s="41"/>
    </row>
    <row r="19" spans="1:12" ht="15">
      <c r="A19" s="307" t="s">
        <v>237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9"/>
    </row>
    <row r="20" spans="1:12" ht="12.75">
      <c r="A20" s="313" t="s">
        <v>100</v>
      </c>
      <c r="B20" s="314" t="s">
        <v>101</v>
      </c>
      <c r="C20" s="315" t="s">
        <v>102</v>
      </c>
      <c r="D20" s="316"/>
      <c r="E20" s="317"/>
      <c r="F20" s="314" t="s">
        <v>177</v>
      </c>
      <c r="G20" s="314" t="s">
        <v>177</v>
      </c>
      <c r="H20" s="318" t="s">
        <v>117</v>
      </c>
      <c r="I20" s="314" t="s">
        <v>177</v>
      </c>
      <c r="J20" s="318" t="s">
        <v>109</v>
      </c>
      <c r="K20" s="37"/>
      <c r="L20" s="38"/>
    </row>
    <row r="21" spans="1:12" ht="12.75">
      <c r="A21" s="310"/>
      <c r="B21" s="293"/>
      <c r="C21" s="32" t="s">
        <v>103</v>
      </c>
      <c r="D21" s="32" t="s">
        <v>104</v>
      </c>
      <c r="E21" s="32" t="s">
        <v>105</v>
      </c>
      <c r="F21" s="293"/>
      <c r="G21" s="293"/>
      <c r="H21" s="295"/>
      <c r="I21" s="293"/>
      <c r="J21" s="295"/>
      <c r="K21" s="37"/>
      <c r="L21" s="38"/>
    </row>
    <row r="22" spans="1:12" ht="12.75">
      <c r="A22" s="39" t="s">
        <v>233</v>
      </c>
      <c r="B22" s="26">
        <v>1</v>
      </c>
      <c r="C22" s="27">
        <f>32.4+10+10</f>
        <v>52.4</v>
      </c>
      <c r="D22" s="26">
        <v>0.2</v>
      </c>
      <c r="E22" s="26">
        <v>0.3</v>
      </c>
      <c r="F22" s="29"/>
      <c r="G22" s="26"/>
      <c r="H22" s="29">
        <f>(D22*1.1)*E22*C22</f>
        <v>3.46</v>
      </c>
      <c r="I22" s="26"/>
      <c r="J22" s="29">
        <f>B22*C22*D22*E22</f>
        <v>3.14</v>
      </c>
      <c r="K22" s="37"/>
      <c r="L22" s="38"/>
    </row>
    <row r="23" spans="1:12" s="34" customFormat="1" ht="15">
      <c r="A23" s="296" t="s">
        <v>110</v>
      </c>
      <c r="B23" s="297"/>
      <c r="C23" s="297"/>
      <c r="D23" s="297"/>
      <c r="E23" s="297"/>
      <c r="F23" s="35"/>
      <c r="G23" s="35"/>
      <c r="H23" s="35">
        <f>SUM(H22:H22)</f>
        <v>3.46</v>
      </c>
      <c r="I23" s="35"/>
      <c r="J23" s="35">
        <f>SUM(J22:J22)</f>
        <v>3.14</v>
      </c>
      <c r="K23" s="33"/>
      <c r="L23" s="41"/>
    </row>
    <row r="24" spans="1:12" ht="15">
      <c r="A24" s="307" t="s">
        <v>126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</row>
    <row r="25" spans="1:12" ht="12" customHeight="1">
      <c r="A25" s="310" t="s">
        <v>100</v>
      </c>
      <c r="B25" s="295" t="s">
        <v>123</v>
      </c>
      <c r="C25" s="37"/>
      <c r="D25" s="37"/>
      <c r="E25" s="37"/>
      <c r="F25" s="37"/>
      <c r="G25" s="37"/>
      <c r="H25" s="37"/>
      <c r="I25" s="37"/>
      <c r="J25" s="37"/>
      <c r="K25" s="37"/>
      <c r="L25" s="38"/>
    </row>
    <row r="26" spans="1:12" ht="12.75" customHeight="1">
      <c r="A26" s="311"/>
      <c r="B26" s="294"/>
      <c r="C26" s="37"/>
      <c r="D26" s="37"/>
      <c r="E26" s="37"/>
      <c r="F26" s="37"/>
      <c r="G26" s="37"/>
      <c r="H26" s="37"/>
      <c r="I26" s="37"/>
      <c r="J26" s="37"/>
      <c r="K26" s="37"/>
      <c r="L26" s="38"/>
    </row>
    <row r="27" spans="1:12" ht="12.75" customHeight="1">
      <c r="A27" s="39" t="s">
        <v>236</v>
      </c>
      <c r="B27" s="29">
        <f>D32*0.7</f>
        <v>36.68</v>
      </c>
      <c r="C27" s="37"/>
      <c r="D27" s="37"/>
      <c r="E27" s="37"/>
      <c r="F27" s="37"/>
      <c r="G27" s="37"/>
      <c r="H27" s="37"/>
      <c r="I27" s="37"/>
      <c r="J27" s="37"/>
      <c r="K27" s="37"/>
      <c r="L27" s="38"/>
    </row>
    <row r="28" spans="1:12" s="34" customFormat="1" ht="15">
      <c r="A28" s="48" t="s">
        <v>110</v>
      </c>
      <c r="B28" s="35">
        <f>B27</f>
        <v>36.68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5">
      <c r="A29" s="307" t="s">
        <v>135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</row>
    <row r="30" spans="1:12" ht="12" customHeight="1">
      <c r="A30" s="330" t="s">
        <v>100</v>
      </c>
      <c r="B30" s="322" t="s">
        <v>101</v>
      </c>
      <c r="C30" s="335" t="s">
        <v>408</v>
      </c>
      <c r="D30" s="336"/>
      <c r="E30" s="336"/>
      <c r="F30" s="337"/>
      <c r="G30" s="323" t="s">
        <v>114</v>
      </c>
      <c r="H30" s="335" t="s">
        <v>118</v>
      </c>
      <c r="I30" s="336"/>
      <c r="J30" s="336"/>
      <c r="K30" s="337"/>
      <c r="L30" s="338" t="s">
        <v>115</v>
      </c>
    </row>
    <row r="31" spans="1:12" ht="12.75">
      <c r="A31" s="310"/>
      <c r="B31" s="293"/>
      <c r="C31" s="45" t="s">
        <v>111</v>
      </c>
      <c r="D31" s="45" t="s">
        <v>121</v>
      </c>
      <c r="E31" s="45" t="s">
        <v>112</v>
      </c>
      <c r="F31" s="45" t="s">
        <v>113</v>
      </c>
      <c r="G31" s="295"/>
      <c r="H31" s="45" t="s">
        <v>120</v>
      </c>
      <c r="I31" s="45" t="s">
        <v>121</v>
      </c>
      <c r="J31" s="45" t="s">
        <v>112</v>
      </c>
      <c r="K31" s="45" t="s">
        <v>113</v>
      </c>
      <c r="L31" s="339"/>
    </row>
    <row r="32" spans="1:12" ht="12.75">
      <c r="A32" s="39" t="s">
        <v>232</v>
      </c>
      <c r="B32" s="26">
        <v>1</v>
      </c>
      <c r="C32" s="27">
        <v>4</v>
      </c>
      <c r="D32" s="26">
        <f>C17</f>
        <v>52.4</v>
      </c>
      <c r="E32" s="28">
        <v>10</v>
      </c>
      <c r="F32" s="30">
        <v>0.617</v>
      </c>
      <c r="G32" s="29">
        <f>(C32*D32)*B32*F32</f>
        <v>129.32</v>
      </c>
      <c r="H32" s="27">
        <v>0.15</v>
      </c>
      <c r="I32" s="26">
        <v>0.52</v>
      </c>
      <c r="J32" s="28">
        <v>5</v>
      </c>
      <c r="K32" s="30">
        <v>0.154</v>
      </c>
      <c r="L32" s="44">
        <f>(((C17*B32)/H32)*I32)*K32</f>
        <v>27.97</v>
      </c>
    </row>
    <row r="33" spans="1:12" s="31" customFormat="1" ht="15">
      <c r="A33" s="324" t="s">
        <v>110</v>
      </c>
      <c r="B33" s="325"/>
      <c r="C33" s="325"/>
      <c r="D33" s="325"/>
      <c r="E33" s="325"/>
      <c r="F33" s="326"/>
      <c r="G33" s="35">
        <f>SUM(G32:G32)</f>
        <v>129.32</v>
      </c>
      <c r="H33" s="49"/>
      <c r="I33" s="49"/>
      <c r="J33" s="50"/>
      <c r="K33" s="49"/>
      <c r="L33" s="51">
        <f>SUM(L32:L32)</f>
        <v>27.97</v>
      </c>
    </row>
    <row r="34" spans="1:12" ht="15">
      <c r="A34" s="307" t="s">
        <v>234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</row>
    <row r="35" spans="1:12" ht="12" customHeight="1">
      <c r="A35" s="330" t="s">
        <v>100</v>
      </c>
      <c r="B35" s="322" t="s">
        <v>101</v>
      </c>
      <c r="C35" s="335" t="s">
        <v>119</v>
      </c>
      <c r="D35" s="336"/>
      <c r="E35" s="336"/>
      <c r="F35" s="337"/>
      <c r="G35" s="323" t="s">
        <v>114</v>
      </c>
      <c r="H35" s="335" t="s">
        <v>118</v>
      </c>
      <c r="I35" s="336"/>
      <c r="J35" s="336"/>
      <c r="K35" s="337"/>
      <c r="L35" s="338" t="s">
        <v>115</v>
      </c>
    </row>
    <row r="36" spans="1:12" ht="12.75">
      <c r="A36" s="310"/>
      <c r="B36" s="293"/>
      <c r="C36" s="45" t="s">
        <v>111</v>
      </c>
      <c r="D36" s="45" t="s">
        <v>121</v>
      </c>
      <c r="E36" s="45" t="s">
        <v>112</v>
      </c>
      <c r="F36" s="45" t="s">
        <v>113</v>
      </c>
      <c r="G36" s="295"/>
      <c r="H36" s="45" t="s">
        <v>120</v>
      </c>
      <c r="I36" s="45" t="s">
        <v>121</v>
      </c>
      <c r="J36" s="45" t="s">
        <v>112</v>
      </c>
      <c r="K36" s="45" t="s">
        <v>113</v>
      </c>
      <c r="L36" s="339"/>
    </row>
    <row r="37" spans="1:12" ht="12.75">
      <c r="A37" s="39" t="s">
        <v>233</v>
      </c>
      <c r="B37" s="26">
        <v>1</v>
      </c>
      <c r="C37" s="27">
        <v>4</v>
      </c>
      <c r="D37" s="26">
        <f>C17</f>
        <v>52.4</v>
      </c>
      <c r="E37" s="28">
        <v>8</v>
      </c>
      <c r="F37" s="30">
        <v>0.395</v>
      </c>
      <c r="G37" s="29">
        <f>(C37*D37)*B37*F37</f>
        <v>82.79</v>
      </c>
      <c r="H37" s="27">
        <v>0.15</v>
      </c>
      <c r="I37" s="26">
        <v>0.52</v>
      </c>
      <c r="J37" s="28">
        <v>5</v>
      </c>
      <c r="K37" s="30">
        <v>0.154</v>
      </c>
      <c r="L37" s="44">
        <f>(((D37*B37)/H37)*I37)*K37</f>
        <v>27.97</v>
      </c>
    </row>
    <row r="38" spans="1:12" s="31" customFormat="1" ht="15.75" thickBot="1">
      <c r="A38" s="324" t="s">
        <v>110</v>
      </c>
      <c r="B38" s="325"/>
      <c r="C38" s="325"/>
      <c r="D38" s="325"/>
      <c r="E38" s="325"/>
      <c r="F38" s="326"/>
      <c r="G38" s="35">
        <f>SUM(G37:G37)</f>
        <v>82.79</v>
      </c>
      <c r="H38" s="49"/>
      <c r="I38" s="49"/>
      <c r="J38" s="50"/>
      <c r="K38" s="49"/>
      <c r="L38" s="51">
        <f>SUM(L37:L37)</f>
        <v>27.97</v>
      </c>
    </row>
    <row r="39" spans="1:12" ht="24" customHeight="1">
      <c r="A39" s="46" t="s">
        <v>23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2"/>
    </row>
    <row r="40" spans="1:12" ht="89.25" customHeight="1" thickBot="1">
      <c r="A40" s="47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4"/>
    </row>
  </sheetData>
  <sheetProtection password="CEEA" sheet="1"/>
  <mergeCells count="63">
    <mergeCell ref="C20:E20"/>
    <mergeCell ref="F20:F21"/>
    <mergeCell ref="G20:G21"/>
    <mergeCell ref="H20:H21"/>
    <mergeCell ref="I20:I21"/>
    <mergeCell ref="J20:J21"/>
    <mergeCell ref="A38:F38"/>
    <mergeCell ref="L30:L31"/>
    <mergeCell ref="H30:K30"/>
    <mergeCell ref="G30:G31"/>
    <mergeCell ref="C30:F30"/>
    <mergeCell ref="B30:B31"/>
    <mergeCell ref="A30:A31"/>
    <mergeCell ref="A29:L29"/>
    <mergeCell ref="A14:L14"/>
    <mergeCell ref="B39:L40"/>
    <mergeCell ref="A34:L34"/>
    <mergeCell ref="A35:A36"/>
    <mergeCell ref="B35:B36"/>
    <mergeCell ref="C35:F35"/>
    <mergeCell ref="G35:G36"/>
    <mergeCell ref="H35:K35"/>
    <mergeCell ref="L35:L36"/>
    <mergeCell ref="I10:I11"/>
    <mergeCell ref="J10:J11"/>
    <mergeCell ref="A13:G13"/>
    <mergeCell ref="A33:F33"/>
    <mergeCell ref="H10:H11"/>
    <mergeCell ref="G10:G11"/>
    <mergeCell ref="F10:F11"/>
    <mergeCell ref="C10:E10"/>
    <mergeCell ref="B10:B11"/>
    <mergeCell ref="A10:A11"/>
    <mergeCell ref="A24:L24"/>
    <mergeCell ref="A25:A26"/>
    <mergeCell ref="B25:B26"/>
    <mergeCell ref="I15:I16"/>
    <mergeCell ref="J15:J16"/>
    <mergeCell ref="A18:E18"/>
    <mergeCell ref="A23:E23"/>
    <mergeCell ref="A19:L19"/>
    <mergeCell ref="A20:A21"/>
    <mergeCell ref="B20:B21"/>
    <mergeCell ref="F5:F6"/>
    <mergeCell ref="G5:G6"/>
    <mergeCell ref="H5:H6"/>
    <mergeCell ref="A15:A16"/>
    <mergeCell ref="B15:B16"/>
    <mergeCell ref="C15:E15"/>
    <mergeCell ref="F15:F16"/>
    <mergeCell ref="G15:G16"/>
    <mergeCell ref="H15:H16"/>
    <mergeCell ref="A9:L9"/>
    <mergeCell ref="I5:I6"/>
    <mergeCell ref="J5:J6"/>
    <mergeCell ref="A8:E8"/>
    <mergeCell ref="A1:L1"/>
    <mergeCell ref="A2:L2"/>
    <mergeCell ref="A3:L3"/>
    <mergeCell ref="A4:L4"/>
    <mergeCell ref="A5:A6"/>
    <mergeCell ref="B5:B6"/>
    <mergeCell ref="C5:E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="85" zoomScaleNormal="85" zoomScaleSheetLayoutView="85" zoomScalePageLayoutView="0" workbookViewId="0" topLeftCell="A1">
      <selection activeCell="F7" sqref="F7"/>
    </sheetView>
  </sheetViews>
  <sheetFormatPr defaultColWidth="9.140625" defaultRowHeight="12.75"/>
  <cols>
    <col min="1" max="1" width="23.421875" style="0" bestFit="1" customWidth="1"/>
    <col min="2" max="2" width="15.7109375" style="0" customWidth="1"/>
    <col min="3" max="3" width="16.57421875" style="0" customWidth="1"/>
    <col min="4" max="4" width="17.00390625" style="0" bestFit="1" customWidth="1"/>
    <col min="5" max="5" width="13.8515625" style="0" customWidth="1"/>
    <col min="6" max="6" width="14.00390625" style="0" bestFit="1" customWidth="1"/>
    <col min="7" max="7" width="12.421875" style="0" customWidth="1"/>
    <col min="8" max="8" width="12.421875" style="0" bestFit="1" customWidth="1"/>
    <col min="9" max="9" width="14.140625" style="0" bestFit="1" customWidth="1"/>
    <col min="10" max="10" width="13.421875" style="0" bestFit="1" customWidth="1"/>
    <col min="11" max="12" width="12.421875" style="0" bestFit="1" customWidth="1"/>
  </cols>
  <sheetData>
    <row r="1" spans="1:12" ht="70.5" customHeight="1" thickBo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2" ht="33" customHeight="1" thickBot="1">
      <c r="A2" s="262" t="s">
        <v>122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5">
      <c r="A3" s="268" t="s">
        <v>252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5">
      <c r="A4" s="265" t="s">
        <v>72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7"/>
    </row>
    <row r="5" spans="1:12" ht="12.75">
      <c r="A5" s="255" t="s">
        <v>100</v>
      </c>
      <c r="B5" s="253" t="s">
        <v>101</v>
      </c>
      <c r="C5" s="254" t="s">
        <v>102</v>
      </c>
      <c r="D5" s="254"/>
      <c r="E5" s="254"/>
      <c r="F5" s="251" t="s">
        <v>192</v>
      </c>
      <c r="G5" s="253" t="s">
        <v>108</v>
      </c>
      <c r="H5" s="253" t="s">
        <v>177</v>
      </c>
      <c r="I5" s="253" t="s">
        <v>230</v>
      </c>
      <c r="J5" s="251" t="s">
        <v>109</v>
      </c>
      <c r="K5" s="69"/>
      <c r="L5" s="70"/>
    </row>
    <row r="6" spans="1:12" ht="12.75">
      <c r="A6" s="256"/>
      <c r="B6" s="252"/>
      <c r="C6" s="71" t="s">
        <v>103</v>
      </c>
      <c r="D6" s="71" t="s">
        <v>104</v>
      </c>
      <c r="E6" s="71" t="s">
        <v>256</v>
      </c>
      <c r="F6" s="252"/>
      <c r="G6" s="252"/>
      <c r="H6" s="252"/>
      <c r="I6" s="252"/>
      <c r="J6" s="252"/>
      <c r="K6" s="69"/>
      <c r="L6" s="70"/>
    </row>
    <row r="7" spans="1:12" ht="12.75">
      <c r="A7" s="72" t="s">
        <v>131</v>
      </c>
      <c r="B7" s="73">
        <v>19</v>
      </c>
      <c r="C7" s="74">
        <v>0.7</v>
      </c>
      <c r="D7" s="73">
        <v>0.6</v>
      </c>
      <c r="E7" s="75">
        <v>0.8</v>
      </c>
      <c r="F7" s="76">
        <f>(E7*2)*D7*C7*B7</f>
        <v>12.77</v>
      </c>
      <c r="G7" s="76">
        <f>(E7*D7*C7*B7)-(C$15*D$15*E7)</f>
        <v>6.34</v>
      </c>
      <c r="H7" s="73"/>
      <c r="I7" s="73">
        <f>C7*D7*B7</f>
        <v>7.98</v>
      </c>
      <c r="J7" s="76">
        <f>B7*C7*D7*E7</f>
        <v>6.38</v>
      </c>
      <c r="K7" s="69"/>
      <c r="L7" s="70"/>
    </row>
    <row r="8" spans="1:12" ht="12.75">
      <c r="A8" s="72" t="s">
        <v>253</v>
      </c>
      <c r="B8" s="73">
        <v>7</v>
      </c>
      <c r="C8" s="74">
        <v>0.8</v>
      </c>
      <c r="D8" s="73">
        <v>0.7</v>
      </c>
      <c r="E8" s="75">
        <v>0.8</v>
      </c>
      <c r="F8" s="76">
        <f>(E8*2)*D8*C8*B8</f>
        <v>6.27</v>
      </c>
      <c r="G8" s="76">
        <f>(E8*D8*C8*B8)-(C$15*D$15*E8)</f>
        <v>3.09</v>
      </c>
      <c r="H8" s="73"/>
      <c r="I8" s="73">
        <f>C8*D8*B8</f>
        <v>3.92</v>
      </c>
      <c r="J8" s="76">
        <f>B8*C8*D8*E8</f>
        <v>3.14</v>
      </c>
      <c r="K8" s="69"/>
      <c r="L8" s="70"/>
    </row>
    <row r="9" spans="1:12" ht="12.75">
      <c r="A9" s="72" t="s">
        <v>254</v>
      </c>
      <c r="B9" s="73">
        <v>3</v>
      </c>
      <c r="C9" s="74">
        <v>0.9</v>
      </c>
      <c r="D9" s="73">
        <v>0.8</v>
      </c>
      <c r="E9" s="75">
        <v>0.8</v>
      </c>
      <c r="F9" s="76">
        <f>(E9*2)*D9*C9*B9</f>
        <v>3.46</v>
      </c>
      <c r="G9" s="76">
        <f>(E9*D9*C9*B9)-(C$15*D$15*E9)</f>
        <v>1.68</v>
      </c>
      <c r="H9" s="73"/>
      <c r="I9" s="73">
        <f>C9*D9*B9</f>
        <v>2.16</v>
      </c>
      <c r="J9" s="76">
        <f>B9*C9*D9*E9</f>
        <v>1.73</v>
      </c>
      <c r="K9" s="69"/>
      <c r="L9" s="70"/>
    </row>
    <row r="10" spans="1:12" ht="12.75">
      <c r="A10" s="72" t="s">
        <v>255</v>
      </c>
      <c r="B10" s="73">
        <v>3</v>
      </c>
      <c r="C10" s="94">
        <v>1</v>
      </c>
      <c r="D10" s="73">
        <v>0.9</v>
      </c>
      <c r="E10" s="75">
        <v>0.8</v>
      </c>
      <c r="F10" s="76">
        <f>(E10*2)*D10*C10*B10</f>
        <v>4.32</v>
      </c>
      <c r="G10" s="76">
        <f>(E10*D10*C10*B10)-(C$15*D$15*E10)</f>
        <v>2.11</v>
      </c>
      <c r="H10" s="73"/>
      <c r="I10" s="73">
        <f>C10*D10*B10</f>
        <v>2.7</v>
      </c>
      <c r="J10" s="76">
        <f>B10*C10*D10*E10</f>
        <v>2.16</v>
      </c>
      <c r="K10" s="69"/>
      <c r="L10" s="70"/>
    </row>
    <row r="11" spans="1:12" s="34" customFormat="1" ht="15">
      <c r="A11" s="271" t="s">
        <v>110</v>
      </c>
      <c r="B11" s="272"/>
      <c r="C11" s="272"/>
      <c r="D11" s="272"/>
      <c r="E11" s="272"/>
      <c r="F11" s="77">
        <f>SUM(F7:F10)</f>
        <v>26.82</v>
      </c>
      <c r="G11" s="77">
        <f>SUM(G7:G10)</f>
        <v>13.22</v>
      </c>
      <c r="H11" s="79"/>
      <c r="I11" s="79">
        <f>I10</f>
        <v>2.7</v>
      </c>
      <c r="J11" s="77">
        <f>SUM(J10:J10)</f>
        <v>2.16</v>
      </c>
      <c r="K11" s="80"/>
      <c r="L11" s="81"/>
    </row>
    <row r="12" spans="1:12" ht="15">
      <c r="A12" s="342" t="s">
        <v>91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4"/>
    </row>
    <row r="13" spans="1:12" ht="12.75">
      <c r="A13" s="340" t="s">
        <v>100</v>
      </c>
      <c r="B13" s="341" t="s">
        <v>101</v>
      </c>
      <c r="C13" s="345" t="s">
        <v>102</v>
      </c>
      <c r="D13" s="346"/>
      <c r="E13" s="347"/>
      <c r="F13" s="341" t="s">
        <v>177</v>
      </c>
      <c r="G13" s="341" t="s">
        <v>177</v>
      </c>
      <c r="H13" s="279" t="s">
        <v>177</v>
      </c>
      <c r="I13" s="341" t="s">
        <v>177</v>
      </c>
      <c r="J13" s="279" t="s">
        <v>177</v>
      </c>
      <c r="K13" s="69"/>
      <c r="L13" s="70"/>
    </row>
    <row r="14" spans="1:12" ht="12.75">
      <c r="A14" s="255"/>
      <c r="B14" s="253"/>
      <c r="C14" s="71" t="s">
        <v>103</v>
      </c>
      <c r="D14" s="71" t="s">
        <v>104</v>
      </c>
      <c r="E14" s="71" t="s">
        <v>105</v>
      </c>
      <c r="F14" s="253"/>
      <c r="G14" s="253"/>
      <c r="H14" s="251"/>
      <c r="I14" s="253"/>
      <c r="J14" s="251"/>
      <c r="K14" s="69"/>
      <c r="L14" s="70"/>
    </row>
    <row r="15" spans="1:12" ht="12.75">
      <c r="A15" s="72" t="s">
        <v>238</v>
      </c>
      <c r="B15" s="73">
        <v>22</v>
      </c>
      <c r="C15" s="74">
        <v>0.2</v>
      </c>
      <c r="D15" s="73">
        <v>0.3</v>
      </c>
      <c r="E15" s="73">
        <v>2.5</v>
      </c>
      <c r="F15" s="76"/>
      <c r="G15" s="73"/>
      <c r="H15" s="76"/>
      <c r="I15" s="73"/>
      <c r="J15" s="76"/>
      <c r="K15" s="69"/>
      <c r="L15" s="70"/>
    </row>
    <row r="16" spans="1:12" s="34" customFormat="1" ht="15">
      <c r="A16" s="285" t="s">
        <v>110</v>
      </c>
      <c r="B16" s="283"/>
      <c r="C16" s="283"/>
      <c r="D16" s="283"/>
      <c r="E16" s="283"/>
      <c r="F16" s="283"/>
      <c r="G16" s="284"/>
      <c r="H16" s="77"/>
      <c r="I16" s="77"/>
      <c r="J16" s="77"/>
      <c r="K16" s="82"/>
      <c r="L16" s="81"/>
    </row>
    <row r="17" spans="1:12" ht="15">
      <c r="A17" s="265" t="s">
        <v>88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</row>
    <row r="18" spans="1:12" ht="12.75">
      <c r="A18" s="257" t="s">
        <v>100</v>
      </c>
      <c r="B18" s="258" t="s">
        <v>101</v>
      </c>
      <c r="C18" s="259" t="s">
        <v>102</v>
      </c>
      <c r="D18" s="260"/>
      <c r="E18" s="261"/>
      <c r="F18" s="258" t="s">
        <v>107</v>
      </c>
      <c r="G18" s="258" t="s">
        <v>177</v>
      </c>
      <c r="H18" s="275" t="s">
        <v>177</v>
      </c>
      <c r="I18" s="258" t="s">
        <v>177</v>
      </c>
      <c r="J18" s="275" t="s">
        <v>177</v>
      </c>
      <c r="K18" s="69"/>
      <c r="L18" s="70"/>
    </row>
    <row r="19" spans="1:12" ht="12.75">
      <c r="A19" s="255"/>
      <c r="B19" s="253"/>
      <c r="C19" s="71" t="s">
        <v>103</v>
      </c>
      <c r="D19" s="71" t="s">
        <v>104</v>
      </c>
      <c r="E19" s="71" t="s">
        <v>105</v>
      </c>
      <c r="F19" s="253"/>
      <c r="G19" s="253"/>
      <c r="H19" s="251"/>
      <c r="I19" s="253"/>
      <c r="J19" s="251"/>
      <c r="K19" s="69"/>
      <c r="L19" s="70"/>
    </row>
    <row r="20" spans="1:12" ht="12.75">
      <c r="A20" s="72" t="s">
        <v>232</v>
      </c>
      <c r="B20" s="73">
        <v>1</v>
      </c>
      <c r="C20" s="74">
        <f>64.03+15.09+3.45+5.36+2.9+1.1+1.1</f>
        <v>93.03</v>
      </c>
      <c r="D20" s="73">
        <v>0.2</v>
      </c>
      <c r="E20" s="73">
        <v>0.3</v>
      </c>
      <c r="F20" s="76">
        <f>C20*D20*0.05</f>
        <v>0.93</v>
      </c>
      <c r="G20" s="73"/>
      <c r="H20" s="76"/>
      <c r="I20" s="73"/>
      <c r="J20" s="76"/>
      <c r="K20" s="69"/>
      <c r="L20" s="70"/>
    </row>
    <row r="21" spans="1:12" s="34" customFormat="1" ht="15">
      <c r="A21" s="271" t="s">
        <v>110</v>
      </c>
      <c r="B21" s="272"/>
      <c r="C21" s="272"/>
      <c r="D21" s="272"/>
      <c r="E21" s="272"/>
      <c r="F21" s="77">
        <f>SUM(F20)</f>
        <v>0.93</v>
      </c>
      <c r="G21" s="77"/>
      <c r="H21" s="77"/>
      <c r="I21" s="77"/>
      <c r="J21" s="77"/>
      <c r="K21" s="82"/>
      <c r="L21" s="81"/>
    </row>
    <row r="22" spans="1:12" ht="15">
      <c r="A22" s="265" t="s">
        <v>237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7"/>
    </row>
    <row r="23" spans="1:12" ht="12.75">
      <c r="A23" s="257" t="s">
        <v>100</v>
      </c>
      <c r="B23" s="258" t="s">
        <v>101</v>
      </c>
      <c r="C23" s="259" t="s">
        <v>102</v>
      </c>
      <c r="D23" s="260"/>
      <c r="E23" s="261"/>
      <c r="F23" s="258" t="s">
        <v>177</v>
      </c>
      <c r="G23" s="258" t="s">
        <v>177</v>
      </c>
      <c r="H23" s="275" t="s">
        <v>177</v>
      </c>
      <c r="I23" s="258" t="s">
        <v>177</v>
      </c>
      <c r="J23" s="275" t="s">
        <v>177</v>
      </c>
      <c r="K23" s="69"/>
      <c r="L23" s="70"/>
    </row>
    <row r="24" spans="1:12" ht="12.75">
      <c r="A24" s="255"/>
      <c r="B24" s="253"/>
      <c r="C24" s="71" t="s">
        <v>103</v>
      </c>
      <c r="D24" s="71" t="s">
        <v>104</v>
      </c>
      <c r="E24" s="71" t="s">
        <v>105</v>
      </c>
      <c r="F24" s="253"/>
      <c r="G24" s="253"/>
      <c r="H24" s="251"/>
      <c r="I24" s="253"/>
      <c r="J24" s="251"/>
      <c r="K24" s="69"/>
      <c r="L24" s="70"/>
    </row>
    <row r="25" spans="1:12" ht="12.75">
      <c r="A25" s="72" t="s">
        <v>233</v>
      </c>
      <c r="B25" s="73">
        <v>1</v>
      </c>
      <c r="C25" s="74">
        <f>32.4+10+10</f>
        <v>52.4</v>
      </c>
      <c r="D25" s="73">
        <v>0.2</v>
      </c>
      <c r="E25" s="73">
        <v>0.3</v>
      </c>
      <c r="F25" s="76"/>
      <c r="G25" s="73"/>
      <c r="H25" s="76"/>
      <c r="I25" s="73"/>
      <c r="J25" s="76"/>
      <c r="K25" s="69"/>
      <c r="L25" s="70"/>
    </row>
    <row r="26" spans="1:12" s="34" customFormat="1" ht="15">
      <c r="A26" s="271" t="s">
        <v>110</v>
      </c>
      <c r="B26" s="272"/>
      <c r="C26" s="272"/>
      <c r="D26" s="272"/>
      <c r="E26" s="272"/>
      <c r="F26" s="77"/>
      <c r="G26" s="77"/>
      <c r="H26" s="77"/>
      <c r="I26" s="77"/>
      <c r="J26" s="77"/>
      <c r="K26" s="82"/>
      <c r="L26" s="81"/>
    </row>
    <row r="27" spans="1:12" ht="15">
      <c r="A27" s="265" t="s">
        <v>126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</row>
    <row r="28" spans="1:12" ht="12" customHeight="1">
      <c r="A28" s="255" t="s">
        <v>100</v>
      </c>
      <c r="B28" s="251" t="s">
        <v>123</v>
      </c>
      <c r="C28" s="69"/>
      <c r="D28" s="69"/>
      <c r="E28" s="69"/>
      <c r="F28" s="69"/>
      <c r="G28" s="69"/>
      <c r="H28" s="69"/>
      <c r="I28" s="69"/>
      <c r="J28" s="69"/>
      <c r="K28" s="69"/>
      <c r="L28" s="70"/>
    </row>
    <row r="29" spans="1:12" ht="12.75" customHeight="1">
      <c r="A29" s="256"/>
      <c r="B29" s="252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2.75" customHeight="1">
      <c r="A30" s="72" t="s">
        <v>236</v>
      </c>
      <c r="B30" s="76">
        <f>28.52+97.2</f>
        <v>125.72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s="34" customFormat="1" ht="15">
      <c r="A31" s="85" t="s">
        <v>110</v>
      </c>
      <c r="B31" s="77">
        <f>B30</f>
        <v>125.72</v>
      </c>
      <c r="C31" s="84"/>
      <c r="D31" s="84"/>
      <c r="E31" s="84"/>
      <c r="F31" s="84"/>
      <c r="G31" s="84"/>
      <c r="H31" s="84"/>
      <c r="I31" s="84"/>
      <c r="J31" s="84"/>
      <c r="K31" s="84"/>
      <c r="L31" s="86"/>
    </row>
    <row r="32" spans="1:12" ht="15">
      <c r="A32" s="265" t="s">
        <v>409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7"/>
    </row>
    <row r="33" spans="1:12" ht="12" customHeight="1">
      <c r="A33" s="340" t="s">
        <v>100</v>
      </c>
      <c r="B33" s="341" t="s">
        <v>101</v>
      </c>
      <c r="C33" s="276" t="s">
        <v>408</v>
      </c>
      <c r="D33" s="277"/>
      <c r="E33" s="277"/>
      <c r="F33" s="278"/>
      <c r="G33" s="279" t="s">
        <v>114</v>
      </c>
      <c r="H33" s="276" t="s">
        <v>118</v>
      </c>
      <c r="I33" s="277"/>
      <c r="J33" s="277"/>
      <c r="K33" s="278"/>
      <c r="L33" s="280" t="s">
        <v>115</v>
      </c>
    </row>
    <row r="34" spans="1:12" ht="12.75">
      <c r="A34" s="255"/>
      <c r="B34" s="253"/>
      <c r="C34" s="87" t="s">
        <v>111</v>
      </c>
      <c r="D34" s="87" t="s">
        <v>121</v>
      </c>
      <c r="E34" s="87" t="s">
        <v>112</v>
      </c>
      <c r="F34" s="87" t="s">
        <v>113</v>
      </c>
      <c r="G34" s="251"/>
      <c r="H34" s="87" t="s">
        <v>120</v>
      </c>
      <c r="I34" s="87" t="s">
        <v>121</v>
      </c>
      <c r="J34" s="87" t="s">
        <v>112</v>
      </c>
      <c r="K34" s="87" t="s">
        <v>113</v>
      </c>
      <c r="L34" s="281"/>
    </row>
    <row r="35" spans="1:12" ht="12.75">
      <c r="A35" s="72" t="s">
        <v>410</v>
      </c>
      <c r="B35" s="73">
        <v>16</v>
      </c>
      <c r="C35" s="74">
        <v>5</v>
      </c>
      <c r="D35" s="73">
        <v>2.5</v>
      </c>
      <c r="E35" s="88">
        <v>10</v>
      </c>
      <c r="F35" s="89">
        <v>0.617</v>
      </c>
      <c r="G35" s="76">
        <f>(C35*D35)*B35*F35</f>
        <v>123.4</v>
      </c>
      <c r="H35" s="74">
        <v>0.15</v>
      </c>
      <c r="I35" s="73">
        <v>1.35</v>
      </c>
      <c r="J35" s="88">
        <v>5</v>
      </c>
      <c r="K35" s="89">
        <v>0.154</v>
      </c>
      <c r="L35" s="90">
        <f>(((D35*B35)/H35)*I35)*K35</f>
        <v>55.44</v>
      </c>
    </row>
    <row r="36" spans="1:12" s="31" customFormat="1" ht="15.75" thickBot="1">
      <c r="A36" s="285" t="s">
        <v>110</v>
      </c>
      <c r="B36" s="283"/>
      <c r="C36" s="283"/>
      <c r="D36" s="283"/>
      <c r="E36" s="283"/>
      <c r="F36" s="284"/>
      <c r="G36" s="77">
        <f>SUM(G35:G35)</f>
        <v>123.4</v>
      </c>
      <c r="H36" s="95"/>
      <c r="I36" s="95"/>
      <c r="J36" s="96"/>
      <c r="K36" s="95"/>
      <c r="L36" s="91">
        <f>SUM(L35:L35)</f>
        <v>55.44</v>
      </c>
    </row>
    <row r="37" spans="1:12" ht="24" customHeight="1">
      <c r="A37" s="92" t="s">
        <v>23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90"/>
    </row>
    <row r="38" spans="1:12" ht="89.25" customHeight="1" thickBot="1">
      <c r="A38" s="93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2"/>
    </row>
  </sheetData>
  <sheetProtection password="CEEA" sheet="1"/>
  <mergeCells count="55">
    <mergeCell ref="C33:F33"/>
    <mergeCell ref="G33:G34"/>
    <mergeCell ref="H33:K33"/>
    <mergeCell ref="L33:L34"/>
    <mergeCell ref="A36:F36"/>
    <mergeCell ref="A1:L1"/>
    <mergeCell ref="A2:L2"/>
    <mergeCell ref="A3:L3"/>
    <mergeCell ref="A4:L4"/>
    <mergeCell ref="A5:A6"/>
    <mergeCell ref="B5:B6"/>
    <mergeCell ref="C5:E5"/>
    <mergeCell ref="F5:F6"/>
    <mergeCell ref="G5:G6"/>
    <mergeCell ref="H5:H6"/>
    <mergeCell ref="I5:I6"/>
    <mergeCell ref="J5:J6"/>
    <mergeCell ref="A11:E11"/>
    <mergeCell ref="A12:L12"/>
    <mergeCell ref="A13:A14"/>
    <mergeCell ref="B13:B14"/>
    <mergeCell ref="C13:E13"/>
    <mergeCell ref="F13:F14"/>
    <mergeCell ref="G13:G14"/>
    <mergeCell ref="H13:H14"/>
    <mergeCell ref="I13:I14"/>
    <mergeCell ref="J13:J14"/>
    <mergeCell ref="A16:G16"/>
    <mergeCell ref="A17:L17"/>
    <mergeCell ref="A18:A19"/>
    <mergeCell ref="B18:B19"/>
    <mergeCell ref="C18:E18"/>
    <mergeCell ref="F18:F19"/>
    <mergeCell ref="G18:G19"/>
    <mergeCell ref="H18:H19"/>
    <mergeCell ref="I18:I19"/>
    <mergeCell ref="J18:J19"/>
    <mergeCell ref="A21:E21"/>
    <mergeCell ref="A22:L22"/>
    <mergeCell ref="A23:A24"/>
    <mergeCell ref="B23:B24"/>
    <mergeCell ref="C23:E23"/>
    <mergeCell ref="F23:F24"/>
    <mergeCell ref="G23:G24"/>
    <mergeCell ref="H23:H24"/>
    <mergeCell ref="B37:L38"/>
    <mergeCell ref="I23:I24"/>
    <mergeCell ref="J23:J24"/>
    <mergeCell ref="A26:E26"/>
    <mergeCell ref="A27:L27"/>
    <mergeCell ref="A28:A29"/>
    <mergeCell ref="B28:B29"/>
    <mergeCell ref="A32:L32"/>
    <mergeCell ref="A33:A34"/>
    <mergeCell ref="B33:B3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5" zoomScaleNormal="85" zoomScaleSheetLayoutView="85" zoomScalePageLayoutView="0" workbookViewId="0" topLeftCell="A1">
      <selection activeCell="A1" sqref="A1:L30"/>
    </sheetView>
  </sheetViews>
  <sheetFormatPr defaultColWidth="9.140625" defaultRowHeight="12.75"/>
  <cols>
    <col min="1" max="1" width="23.421875" style="0" bestFit="1" customWidth="1"/>
    <col min="2" max="2" width="15.7109375" style="0" customWidth="1"/>
    <col min="3" max="3" width="16.57421875" style="0" customWidth="1"/>
    <col min="4" max="4" width="17.00390625" style="0" bestFit="1" customWidth="1"/>
    <col min="5" max="5" width="13.8515625" style="0" customWidth="1"/>
    <col min="6" max="6" width="14.00390625" style="0" bestFit="1" customWidth="1"/>
    <col min="7" max="7" width="12.421875" style="0" customWidth="1"/>
    <col min="8" max="8" width="12.421875" style="0" bestFit="1" customWidth="1"/>
    <col min="9" max="9" width="14.140625" style="0" bestFit="1" customWidth="1"/>
    <col min="10" max="10" width="13.421875" style="0" bestFit="1" customWidth="1"/>
    <col min="11" max="12" width="12.421875" style="0" bestFit="1" customWidth="1"/>
  </cols>
  <sheetData>
    <row r="1" spans="1:12" ht="70.5" customHeight="1" thickBo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2" ht="33" customHeight="1" thickBot="1">
      <c r="A2" s="262" t="s">
        <v>122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5">
      <c r="A3" s="268" t="s">
        <v>462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5">
      <c r="A4" s="265" t="s">
        <v>72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7"/>
    </row>
    <row r="5" spans="1:12" ht="12.75">
      <c r="A5" s="255" t="s">
        <v>100</v>
      </c>
      <c r="B5" s="253" t="s">
        <v>101</v>
      </c>
      <c r="C5" s="254" t="s">
        <v>102</v>
      </c>
      <c r="D5" s="254"/>
      <c r="E5" s="254"/>
      <c r="F5" s="251" t="s">
        <v>192</v>
      </c>
      <c r="G5" s="253" t="s">
        <v>108</v>
      </c>
      <c r="H5" s="253" t="s">
        <v>177</v>
      </c>
      <c r="I5" s="253" t="s">
        <v>230</v>
      </c>
      <c r="J5" s="251" t="s">
        <v>109</v>
      </c>
      <c r="K5" s="69"/>
      <c r="L5" s="70"/>
    </row>
    <row r="6" spans="1:12" ht="12.75">
      <c r="A6" s="256"/>
      <c r="B6" s="252"/>
      <c r="C6" s="71" t="s">
        <v>103</v>
      </c>
      <c r="D6" s="71" t="s">
        <v>104</v>
      </c>
      <c r="E6" s="71" t="s">
        <v>256</v>
      </c>
      <c r="F6" s="252"/>
      <c r="G6" s="252"/>
      <c r="H6" s="252"/>
      <c r="I6" s="252"/>
      <c r="J6" s="252"/>
      <c r="K6" s="69"/>
      <c r="L6" s="70"/>
    </row>
    <row r="7" spans="1:12" ht="12.75">
      <c r="A7" s="72" t="s">
        <v>361</v>
      </c>
      <c r="B7" s="73">
        <v>7</v>
      </c>
      <c r="C7" s="74">
        <v>0.75</v>
      </c>
      <c r="D7" s="73">
        <v>0.6</v>
      </c>
      <c r="E7" s="76">
        <v>0.8</v>
      </c>
      <c r="F7" s="76">
        <f>(E7*2)*D7*C7*B7</f>
        <v>5.04</v>
      </c>
      <c r="G7" s="76">
        <f>(E7*D7*C7*B7)-(C$12*D$12*E7)</f>
        <v>2.49</v>
      </c>
      <c r="H7" s="73"/>
      <c r="I7" s="73">
        <f>C7*D7*B7</f>
        <v>3.15</v>
      </c>
      <c r="J7" s="76">
        <f>B7*C7*D7*E7</f>
        <v>2.52</v>
      </c>
      <c r="K7" s="69"/>
      <c r="L7" s="70"/>
    </row>
    <row r="8" spans="1:12" s="34" customFormat="1" ht="15">
      <c r="A8" s="271" t="s">
        <v>110</v>
      </c>
      <c r="B8" s="272"/>
      <c r="C8" s="272"/>
      <c r="D8" s="272"/>
      <c r="E8" s="272"/>
      <c r="F8" s="77">
        <f>SUM(F7:F7)</f>
        <v>5.04</v>
      </c>
      <c r="G8" s="77">
        <f>SUM(G7:G7)</f>
        <v>2.49</v>
      </c>
      <c r="H8" s="79"/>
      <c r="I8" s="79">
        <f>I7</f>
        <v>3.15</v>
      </c>
      <c r="J8" s="77">
        <f>J7</f>
        <v>2.52</v>
      </c>
      <c r="K8" s="80"/>
      <c r="L8" s="81"/>
    </row>
    <row r="9" spans="1:12" ht="15">
      <c r="A9" s="342" t="s">
        <v>91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4"/>
    </row>
    <row r="10" spans="1:12" ht="12.75">
      <c r="A10" s="340" t="s">
        <v>100</v>
      </c>
      <c r="B10" s="341" t="s">
        <v>101</v>
      </c>
      <c r="C10" s="345" t="s">
        <v>102</v>
      </c>
      <c r="D10" s="346"/>
      <c r="E10" s="347"/>
      <c r="F10" s="341" t="s">
        <v>177</v>
      </c>
      <c r="G10" s="341" t="s">
        <v>177</v>
      </c>
      <c r="H10" s="279" t="s">
        <v>177</v>
      </c>
      <c r="I10" s="341" t="s">
        <v>177</v>
      </c>
      <c r="J10" s="279" t="s">
        <v>177</v>
      </c>
      <c r="K10" s="69"/>
      <c r="L10" s="70"/>
    </row>
    <row r="11" spans="1:12" ht="12.75">
      <c r="A11" s="255"/>
      <c r="B11" s="253"/>
      <c r="C11" s="71" t="s">
        <v>103</v>
      </c>
      <c r="D11" s="71" t="s">
        <v>104</v>
      </c>
      <c r="E11" s="71" t="s">
        <v>177</v>
      </c>
      <c r="F11" s="253"/>
      <c r="G11" s="253"/>
      <c r="H11" s="251"/>
      <c r="I11" s="253"/>
      <c r="J11" s="251"/>
      <c r="K11" s="69"/>
      <c r="L11" s="70"/>
    </row>
    <row r="12" spans="1:12" ht="12.75">
      <c r="A12" s="72" t="s">
        <v>132</v>
      </c>
      <c r="B12" s="73">
        <v>7</v>
      </c>
      <c r="C12" s="74">
        <v>0.14</v>
      </c>
      <c r="D12" s="73">
        <v>0.26</v>
      </c>
      <c r="E12" s="73" t="s">
        <v>177</v>
      </c>
      <c r="F12" s="76"/>
      <c r="G12" s="73"/>
      <c r="H12" s="76"/>
      <c r="I12" s="73"/>
      <c r="J12" s="76"/>
      <c r="K12" s="69"/>
      <c r="L12" s="70"/>
    </row>
    <row r="13" spans="1:12" s="34" customFormat="1" ht="15">
      <c r="A13" s="285" t="s">
        <v>110</v>
      </c>
      <c r="B13" s="283"/>
      <c r="C13" s="283"/>
      <c r="D13" s="283"/>
      <c r="E13" s="283"/>
      <c r="F13" s="283"/>
      <c r="G13" s="284"/>
      <c r="H13" s="77"/>
      <c r="I13" s="77"/>
      <c r="J13" s="77"/>
      <c r="K13" s="82"/>
      <c r="L13" s="81"/>
    </row>
    <row r="14" spans="1:12" ht="15">
      <c r="A14" s="265" t="s">
        <v>88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7"/>
    </row>
    <row r="15" spans="1:12" ht="12.75">
      <c r="A15" s="257" t="s">
        <v>100</v>
      </c>
      <c r="B15" s="258" t="s">
        <v>101</v>
      </c>
      <c r="C15" s="259" t="s">
        <v>102</v>
      </c>
      <c r="D15" s="260"/>
      <c r="E15" s="261"/>
      <c r="F15" s="258" t="s">
        <v>107</v>
      </c>
      <c r="G15" s="258" t="s">
        <v>177</v>
      </c>
      <c r="H15" s="275" t="s">
        <v>177</v>
      </c>
      <c r="I15" s="253" t="s">
        <v>230</v>
      </c>
      <c r="J15" s="251" t="s">
        <v>109</v>
      </c>
      <c r="K15" s="69"/>
      <c r="L15" s="70"/>
    </row>
    <row r="16" spans="1:12" ht="12.75">
      <c r="A16" s="255"/>
      <c r="B16" s="253"/>
      <c r="C16" s="71" t="s">
        <v>103</v>
      </c>
      <c r="D16" s="71" t="s">
        <v>104</v>
      </c>
      <c r="E16" s="71" t="s">
        <v>105</v>
      </c>
      <c r="F16" s="253"/>
      <c r="G16" s="253"/>
      <c r="H16" s="251"/>
      <c r="I16" s="252"/>
      <c r="J16" s="252"/>
      <c r="K16" s="69"/>
      <c r="L16" s="70"/>
    </row>
    <row r="17" spans="1:12" ht="12.75">
      <c r="A17" s="72" t="s">
        <v>133</v>
      </c>
      <c r="B17" s="73">
        <v>1</v>
      </c>
      <c r="C17" s="74">
        <f>34.79+1.76+1.51</f>
        <v>38.06</v>
      </c>
      <c r="D17" s="73">
        <v>0.2</v>
      </c>
      <c r="E17" s="73">
        <v>0.26</v>
      </c>
      <c r="F17" s="76">
        <f>C17*D17*0.05</f>
        <v>0.38</v>
      </c>
      <c r="G17" s="73"/>
      <c r="H17" s="76"/>
      <c r="I17" s="76">
        <f>C17*D17*B17</f>
        <v>7.61</v>
      </c>
      <c r="J17" s="76">
        <f>B17*C17*D17*E17</f>
        <v>1.98</v>
      </c>
      <c r="K17" s="69"/>
      <c r="L17" s="70"/>
    </row>
    <row r="18" spans="1:12" s="34" customFormat="1" ht="15">
      <c r="A18" s="271" t="s">
        <v>110</v>
      </c>
      <c r="B18" s="272"/>
      <c r="C18" s="272"/>
      <c r="D18" s="272"/>
      <c r="E18" s="272"/>
      <c r="F18" s="77">
        <f>SUM(F17)</f>
        <v>0.38</v>
      </c>
      <c r="G18" s="77"/>
      <c r="H18" s="77"/>
      <c r="I18" s="77">
        <f>I17</f>
        <v>7.61</v>
      </c>
      <c r="J18" s="77">
        <f>J17</f>
        <v>1.98</v>
      </c>
      <c r="K18" s="82"/>
      <c r="L18" s="81"/>
    </row>
    <row r="19" spans="1:12" ht="15">
      <c r="A19" s="265" t="s">
        <v>237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7"/>
    </row>
    <row r="20" spans="1:12" ht="12.75">
      <c r="A20" s="257" t="s">
        <v>100</v>
      </c>
      <c r="B20" s="258" t="s">
        <v>101</v>
      </c>
      <c r="C20" s="259" t="s">
        <v>102</v>
      </c>
      <c r="D20" s="260"/>
      <c r="E20" s="261"/>
      <c r="F20" s="258" t="s">
        <v>177</v>
      </c>
      <c r="G20" s="258" t="s">
        <v>177</v>
      </c>
      <c r="H20" s="275" t="s">
        <v>177</v>
      </c>
      <c r="I20" s="258" t="s">
        <v>177</v>
      </c>
      <c r="J20" s="275" t="s">
        <v>177</v>
      </c>
      <c r="K20" s="69"/>
      <c r="L20" s="70"/>
    </row>
    <row r="21" spans="1:12" ht="12.75">
      <c r="A21" s="255"/>
      <c r="B21" s="253"/>
      <c r="C21" s="71" t="s">
        <v>103</v>
      </c>
      <c r="D21" s="71" t="s">
        <v>104</v>
      </c>
      <c r="E21" s="71" t="s">
        <v>105</v>
      </c>
      <c r="F21" s="253"/>
      <c r="G21" s="253"/>
      <c r="H21" s="251"/>
      <c r="I21" s="253"/>
      <c r="J21" s="251"/>
      <c r="K21" s="69"/>
      <c r="L21" s="70"/>
    </row>
    <row r="22" spans="1:12" ht="12.75">
      <c r="A22" s="72" t="s">
        <v>233</v>
      </c>
      <c r="B22" s="73">
        <v>1</v>
      </c>
      <c r="C22" s="74">
        <f>32.4+10+10</f>
        <v>52.4</v>
      </c>
      <c r="D22" s="73">
        <v>0.2</v>
      </c>
      <c r="E22" s="73">
        <v>0.3</v>
      </c>
      <c r="F22" s="76"/>
      <c r="G22" s="73"/>
      <c r="H22" s="76"/>
      <c r="I22" s="73"/>
      <c r="J22" s="76"/>
      <c r="K22" s="69"/>
      <c r="L22" s="70"/>
    </row>
    <row r="23" spans="1:12" s="34" customFormat="1" ht="15">
      <c r="A23" s="271" t="s">
        <v>110</v>
      </c>
      <c r="B23" s="272"/>
      <c r="C23" s="272"/>
      <c r="D23" s="272"/>
      <c r="E23" s="272"/>
      <c r="F23" s="77"/>
      <c r="G23" s="77"/>
      <c r="H23" s="77"/>
      <c r="I23" s="77"/>
      <c r="J23" s="77"/>
      <c r="K23" s="82"/>
      <c r="L23" s="81"/>
    </row>
    <row r="24" spans="1:12" ht="15">
      <c r="A24" s="265" t="s">
        <v>126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7"/>
    </row>
    <row r="25" spans="1:12" ht="12" customHeight="1">
      <c r="A25" s="255" t="s">
        <v>100</v>
      </c>
      <c r="B25" s="251" t="s">
        <v>123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</row>
    <row r="26" spans="1:12" ht="12.75" customHeight="1">
      <c r="A26" s="256"/>
      <c r="B26" s="252"/>
      <c r="C26" s="69"/>
      <c r="D26" s="69"/>
      <c r="E26" s="69"/>
      <c r="F26" s="69"/>
      <c r="G26" s="69"/>
      <c r="H26" s="69"/>
      <c r="I26" s="69"/>
      <c r="J26" s="69"/>
      <c r="K26" s="69"/>
      <c r="L26" s="70"/>
    </row>
    <row r="27" spans="1:12" ht="12.75" customHeight="1">
      <c r="A27" s="72" t="s">
        <v>130</v>
      </c>
      <c r="B27" s="76">
        <f>(7.7*1.5)+(18*0.8)</f>
        <v>25.95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</row>
    <row r="28" spans="1:12" s="34" customFormat="1" ht="15.75" thickBot="1">
      <c r="A28" s="85" t="s">
        <v>110</v>
      </c>
      <c r="B28" s="77">
        <f>B27</f>
        <v>25.95</v>
      </c>
      <c r="C28" s="84"/>
      <c r="D28" s="84"/>
      <c r="E28" s="84"/>
      <c r="F28" s="84"/>
      <c r="G28" s="84"/>
      <c r="H28" s="84"/>
      <c r="I28" s="84"/>
      <c r="J28" s="84"/>
      <c r="K28" s="84"/>
      <c r="L28" s="86"/>
    </row>
    <row r="29" spans="1:12" ht="24" customHeight="1">
      <c r="A29" s="92" t="s">
        <v>23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90"/>
    </row>
    <row r="30" spans="1:12" ht="89.25" customHeight="1" thickBot="1">
      <c r="A30" s="93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2"/>
    </row>
  </sheetData>
  <sheetProtection password="CEEA" sheet="1"/>
  <mergeCells count="47">
    <mergeCell ref="B29:L30"/>
    <mergeCell ref="I20:I21"/>
    <mergeCell ref="J20:J21"/>
    <mergeCell ref="A23:E23"/>
    <mergeCell ref="A24:L24"/>
    <mergeCell ref="A25:A26"/>
    <mergeCell ref="B25:B26"/>
    <mergeCell ref="I15:I16"/>
    <mergeCell ref="J15:J16"/>
    <mergeCell ref="A18:E18"/>
    <mergeCell ref="A19:L19"/>
    <mergeCell ref="A20:A21"/>
    <mergeCell ref="B20:B21"/>
    <mergeCell ref="C20:E20"/>
    <mergeCell ref="F20:F21"/>
    <mergeCell ref="G20:G21"/>
    <mergeCell ref="H20:H21"/>
    <mergeCell ref="I10:I11"/>
    <mergeCell ref="J10:J11"/>
    <mergeCell ref="A13:G13"/>
    <mergeCell ref="A14:L14"/>
    <mergeCell ref="A15:A16"/>
    <mergeCell ref="B15:B16"/>
    <mergeCell ref="C15:E15"/>
    <mergeCell ref="F15:F16"/>
    <mergeCell ref="G15:G16"/>
    <mergeCell ref="H15:H16"/>
    <mergeCell ref="I5:I6"/>
    <mergeCell ref="J5:J6"/>
    <mergeCell ref="A8:E8"/>
    <mergeCell ref="A9:L9"/>
    <mergeCell ref="A10:A11"/>
    <mergeCell ref="B10:B11"/>
    <mergeCell ref="C10:E10"/>
    <mergeCell ref="F10:F11"/>
    <mergeCell ref="G10:G11"/>
    <mergeCell ref="H10:H11"/>
    <mergeCell ref="A1:L1"/>
    <mergeCell ref="A2:L2"/>
    <mergeCell ref="A3:L3"/>
    <mergeCell ref="A4:L4"/>
    <mergeCell ref="A5:A6"/>
    <mergeCell ref="B5:B6"/>
    <mergeCell ref="C5:E5"/>
    <mergeCell ref="F5:F6"/>
    <mergeCell ref="G5:G6"/>
    <mergeCell ref="H5:H6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85" zoomScaleNormal="85" zoomScaleSheetLayoutView="85" zoomScalePageLayoutView="0" workbookViewId="0" topLeftCell="A1">
      <selection activeCell="F7" sqref="F7"/>
    </sheetView>
  </sheetViews>
  <sheetFormatPr defaultColWidth="9.140625" defaultRowHeight="12.75"/>
  <cols>
    <col min="1" max="1" width="15.421875" style="0" customWidth="1"/>
    <col min="2" max="2" width="36.140625" style="0" bestFit="1" customWidth="1"/>
    <col min="3" max="3" width="5.00390625" style="0" bestFit="1" customWidth="1"/>
    <col min="4" max="4" width="6.7109375" style="0" bestFit="1" customWidth="1"/>
    <col min="5" max="5" width="15.57421875" style="0" bestFit="1" customWidth="1"/>
    <col min="6" max="6" width="14.00390625" style="0" bestFit="1" customWidth="1"/>
    <col min="7" max="7" width="12.421875" style="0" customWidth="1"/>
    <col min="8" max="8" width="16.421875" style="0" bestFit="1" customWidth="1"/>
    <col min="9" max="9" width="15.57421875" style="0" bestFit="1" customWidth="1"/>
    <col min="10" max="10" width="13.421875" style="0" bestFit="1" customWidth="1"/>
  </cols>
  <sheetData>
    <row r="1" spans="1:10" ht="70.5" customHeight="1" thickBot="1">
      <c r="A1" s="298"/>
      <c r="B1" s="299"/>
      <c r="C1" s="299"/>
      <c r="D1" s="299"/>
      <c r="E1" s="299"/>
      <c r="F1" s="299"/>
      <c r="G1" s="299"/>
      <c r="H1" s="299"/>
      <c r="I1" s="299"/>
      <c r="J1" s="300"/>
    </row>
    <row r="2" spans="1:10" ht="33" customHeight="1" thickBot="1">
      <c r="A2" s="301" t="s">
        <v>122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10" ht="15">
      <c r="A3" s="304" t="s">
        <v>425</v>
      </c>
      <c r="B3" s="305"/>
      <c r="C3" s="305"/>
      <c r="D3" s="305"/>
      <c r="E3" s="305"/>
      <c r="F3" s="305"/>
      <c r="G3" s="305"/>
      <c r="H3" s="305"/>
      <c r="I3" s="305"/>
      <c r="J3" s="306"/>
    </row>
    <row r="4" spans="1:10" ht="30">
      <c r="A4" s="63" t="s">
        <v>425</v>
      </c>
      <c r="B4" s="54" t="s">
        <v>1</v>
      </c>
      <c r="C4" s="54" t="s">
        <v>426</v>
      </c>
      <c r="D4" s="54" t="s">
        <v>427</v>
      </c>
      <c r="E4" s="54" t="s">
        <v>428</v>
      </c>
      <c r="F4" s="54" t="s">
        <v>428</v>
      </c>
      <c r="G4" s="54" t="s">
        <v>428</v>
      </c>
      <c r="H4" s="54" t="s">
        <v>428</v>
      </c>
      <c r="I4" s="54" t="s">
        <v>428</v>
      </c>
      <c r="J4" s="64" t="s">
        <v>429</v>
      </c>
    </row>
    <row r="5" spans="1:10" ht="17.25" customHeight="1">
      <c r="A5" s="65"/>
      <c r="B5" s="54" t="s">
        <v>430</v>
      </c>
      <c r="C5" s="57"/>
      <c r="D5" s="56"/>
      <c r="E5" s="58" t="s">
        <v>431</v>
      </c>
      <c r="F5" s="58" t="s">
        <v>432</v>
      </c>
      <c r="G5" s="58" t="s">
        <v>433</v>
      </c>
      <c r="H5" s="55" t="s">
        <v>434</v>
      </c>
      <c r="I5" s="55" t="s">
        <v>431</v>
      </c>
      <c r="J5" s="66"/>
    </row>
    <row r="6" spans="1:10" ht="17.25" customHeight="1">
      <c r="A6" s="67" t="s">
        <v>438</v>
      </c>
      <c r="B6" s="62" t="s">
        <v>436</v>
      </c>
      <c r="C6" s="57" t="s">
        <v>426</v>
      </c>
      <c r="D6" s="57">
        <v>1</v>
      </c>
      <c r="E6" s="59">
        <v>1463.95</v>
      </c>
      <c r="F6" s="59">
        <v>1793.5</v>
      </c>
      <c r="G6" s="59"/>
      <c r="H6" s="60"/>
      <c r="I6" s="61">
        <v>1936.62</v>
      </c>
      <c r="J6" s="68">
        <f>AVERAGE(E6:I6)</f>
        <v>1731.36</v>
      </c>
    </row>
    <row r="7" spans="1:10" ht="17.25" customHeight="1" thickBot="1">
      <c r="A7" s="67" t="s">
        <v>439</v>
      </c>
      <c r="B7" s="62" t="s">
        <v>435</v>
      </c>
      <c r="C7" s="57" t="s">
        <v>426</v>
      </c>
      <c r="D7" s="57">
        <v>1</v>
      </c>
      <c r="E7" s="59">
        <v>133.89</v>
      </c>
      <c r="F7" s="59"/>
      <c r="G7" s="59">
        <v>119.9</v>
      </c>
      <c r="H7" s="60">
        <v>141.99</v>
      </c>
      <c r="I7" s="61"/>
      <c r="J7" s="68">
        <f>AVERAGE(E7:I7)</f>
        <v>131.93</v>
      </c>
    </row>
    <row r="8" spans="1:10" ht="24" customHeight="1">
      <c r="A8" s="46" t="s">
        <v>23</v>
      </c>
      <c r="B8" s="331"/>
      <c r="C8" s="331"/>
      <c r="D8" s="331"/>
      <c r="E8" s="331"/>
      <c r="F8" s="331"/>
      <c r="G8" s="331"/>
      <c r="H8" s="331"/>
      <c r="I8" s="331"/>
      <c r="J8" s="332"/>
    </row>
    <row r="9" spans="1:10" ht="89.25" customHeight="1" thickBot="1">
      <c r="A9" s="47"/>
      <c r="B9" s="333"/>
      <c r="C9" s="333"/>
      <c r="D9" s="333"/>
      <c r="E9" s="333"/>
      <c r="F9" s="333"/>
      <c r="G9" s="333"/>
      <c r="H9" s="333"/>
      <c r="I9" s="333"/>
      <c r="J9" s="334"/>
    </row>
  </sheetData>
  <sheetProtection password="CEEA" sheet="1"/>
  <mergeCells count="4">
    <mergeCell ref="B8:J9"/>
    <mergeCell ref="A1:J1"/>
    <mergeCell ref="A2:J2"/>
    <mergeCell ref="A3:J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2" r:id="rId2"/>
  <ignoredErrors>
    <ignoredError sqref="J6:J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6"/>
  <sheetViews>
    <sheetView showGridLines="0" showZeros="0" view="pageBreakPreview" zoomScaleSheetLayoutView="100" zoomScalePageLayoutView="0" workbookViewId="0" topLeftCell="A223">
      <selection activeCell="C241" sqref="C241"/>
    </sheetView>
  </sheetViews>
  <sheetFormatPr defaultColWidth="9.140625" defaultRowHeight="12.75"/>
  <cols>
    <col min="1" max="1" width="5.421875" style="3" bestFit="1" customWidth="1"/>
    <col min="2" max="2" width="10.421875" style="3" customWidth="1"/>
    <col min="3" max="3" width="16.57421875" style="2" customWidth="1"/>
    <col min="4" max="4" width="71.7109375" style="2" customWidth="1"/>
    <col min="5" max="5" width="30.140625" style="2" bestFit="1" customWidth="1"/>
    <col min="6" max="6" width="12.28125" style="2" bestFit="1" customWidth="1"/>
    <col min="7" max="8" width="14.28125" style="2" bestFit="1" customWidth="1"/>
    <col min="9" max="16384" width="9.140625" style="2" customWidth="1"/>
  </cols>
  <sheetData>
    <row r="1" spans="1:8" ht="60.75" customHeight="1" thickBot="1">
      <c r="A1" s="364"/>
      <c r="B1" s="365"/>
      <c r="C1" s="365"/>
      <c r="D1" s="366"/>
      <c r="E1" s="366"/>
      <c r="F1" s="366"/>
      <c r="G1" s="366"/>
      <c r="H1" s="367"/>
    </row>
    <row r="2" spans="1:10" s="1" customFormat="1" ht="3.75" customHeight="1" thickBot="1">
      <c r="A2" s="97"/>
      <c r="B2" s="98"/>
      <c r="C2" s="98"/>
      <c r="D2" s="98"/>
      <c r="E2" s="98"/>
      <c r="F2" s="98"/>
      <c r="G2" s="98"/>
      <c r="H2" s="99"/>
      <c r="I2" s="16"/>
      <c r="J2" s="16"/>
    </row>
    <row r="3" spans="1:8" ht="19.5" customHeight="1" thickBot="1">
      <c r="A3" s="368" t="s">
        <v>9</v>
      </c>
      <c r="B3" s="369"/>
      <c r="C3" s="369"/>
      <c r="D3" s="369"/>
      <c r="E3" s="369"/>
      <c r="F3" s="369"/>
      <c r="G3" s="369"/>
      <c r="H3" s="370"/>
    </row>
    <row r="4" spans="1:8" ht="3.75" customHeight="1" thickBot="1">
      <c r="A4" s="101"/>
      <c r="B4" s="102"/>
      <c r="C4" s="102"/>
      <c r="D4" s="102"/>
      <c r="E4" s="102"/>
      <c r="F4" s="102"/>
      <c r="G4" s="102"/>
      <c r="H4" s="103"/>
    </row>
    <row r="5" spans="1:8" s="17" customFormat="1" ht="19.5" customHeight="1">
      <c r="A5" s="104" t="s">
        <v>378</v>
      </c>
      <c r="B5" s="105"/>
      <c r="C5" s="105"/>
      <c r="D5" s="105"/>
      <c r="E5" s="105"/>
      <c r="F5" s="106"/>
      <c r="G5" s="107" t="s">
        <v>28</v>
      </c>
      <c r="H5" s="108">
        <v>44588</v>
      </c>
    </row>
    <row r="6" spans="1:8" ht="19.5" customHeight="1">
      <c r="A6" s="109" t="s">
        <v>442</v>
      </c>
      <c r="B6" s="110"/>
      <c r="C6" s="110"/>
      <c r="D6" s="110"/>
      <c r="E6" s="110"/>
      <c r="F6" s="110"/>
      <c r="G6" s="110"/>
      <c r="H6" s="111"/>
    </row>
    <row r="7" spans="1:8" ht="3.75" customHeight="1" thickBot="1">
      <c r="A7" s="375"/>
      <c r="B7" s="376"/>
      <c r="C7" s="376"/>
      <c r="D7" s="376"/>
      <c r="E7" s="376"/>
      <c r="F7" s="376"/>
      <c r="G7" s="376"/>
      <c r="H7" s="377"/>
    </row>
    <row r="8" spans="1:8" ht="13.5" thickBot="1">
      <c r="A8" s="373"/>
      <c r="B8" s="374"/>
      <c r="C8" s="374"/>
      <c r="D8" s="100"/>
      <c r="E8" s="100"/>
      <c r="F8" s="100"/>
      <c r="G8" s="112"/>
      <c r="H8" s="113"/>
    </row>
    <row r="9" spans="1:8" s="3" customFormat="1" ht="18.75" customHeight="1" thickBot="1">
      <c r="A9" s="114">
        <v>1</v>
      </c>
      <c r="B9" s="361" t="s">
        <v>55</v>
      </c>
      <c r="C9" s="362"/>
      <c r="D9" s="362"/>
      <c r="E9" s="362"/>
      <c r="F9" s="362"/>
      <c r="G9" s="362"/>
      <c r="H9" s="363"/>
    </row>
    <row r="10" spans="1:8" ht="13.5" customHeight="1" thickBot="1">
      <c r="A10" s="115" t="s">
        <v>0</v>
      </c>
      <c r="B10" s="116" t="s">
        <v>22</v>
      </c>
      <c r="C10" s="117" t="s">
        <v>5</v>
      </c>
      <c r="D10" s="117" t="s">
        <v>1</v>
      </c>
      <c r="E10" s="371" t="s">
        <v>10</v>
      </c>
      <c r="F10" s="372"/>
      <c r="G10" s="118" t="s">
        <v>2</v>
      </c>
      <c r="H10" s="119" t="s">
        <v>3</v>
      </c>
    </row>
    <row r="11" spans="1:8" s="3" customFormat="1" ht="22.5">
      <c r="A11" s="120" t="s">
        <v>7</v>
      </c>
      <c r="B11" s="121" t="s">
        <v>61</v>
      </c>
      <c r="C11" s="122">
        <v>4813</v>
      </c>
      <c r="D11" s="123" t="s">
        <v>67</v>
      </c>
      <c r="E11" s="348" t="s">
        <v>95</v>
      </c>
      <c r="F11" s="348"/>
      <c r="G11" s="124">
        <f>2*1.125</f>
        <v>2.25</v>
      </c>
      <c r="H11" s="125" t="s">
        <v>8</v>
      </c>
    </row>
    <row r="12" spans="1:8" s="3" customFormat="1" ht="23.25" thickBot="1">
      <c r="A12" s="120" t="s">
        <v>68</v>
      </c>
      <c r="B12" s="126" t="s">
        <v>21</v>
      </c>
      <c r="C12" s="127">
        <v>99059</v>
      </c>
      <c r="D12" s="128" t="s">
        <v>69</v>
      </c>
      <c r="E12" s="354"/>
      <c r="F12" s="355"/>
      <c r="G12" s="129">
        <v>30</v>
      </c>
      <c r="H12" s="130" t="s">
        <v>11</v>
      </c>
    </row>
    <row r="13" spans="1:8" s="3" customFormat="1" ht="18.75" customHeight="1" thickBot="1">
      <c r="A13" s="114">
        <v>2</v>
      </c>
      <c r="B13" s="361" t="s">
        <v>134</v>
      </c>
      <c r="C13" s="362"/>
      <c r="D13" s="362"/>
      <c r="E13" s="362"/>
      <c r="F13" s="362"/>
      <c r="G13" s="362"/>
      <c r="H13" s="363"/>
    </row>
    <row r="14" spans="1:8" s="3" customFormat="1" ht="18.75" customHeight="1" thickBot="1">
      <c r="A14" s="131" t="s">
        <v>56</v>
      </c>
      <c r="B14" s="349" t="s">
        <v>72</v>
      </c>
      <c r="C14" s="350"/>
      <c r="D14" s="350"/>
      <c r="E14" s="350"/>
      <c r="F14" s="350"/>
      <c r="G14" s="350"/>
      <c r="H14" s="351"/>
    </row>
    <row r="15" spans="1:8" ht="13.5" customHeight="1" thickBot="1">
      <c r="A15" s="132" t="s">
        <v>0</v>
      </c>
      <c r="B15" s="133" t="s">
        <v>22</v>
      </c>
      <c r="C15" s="134" t="s">
        <v>5</v>
      </c>
      <c r="D15" s="134" t="s">
        <v>1</v>
      </c>
      <c r="E15" s="359" t="s">
        <v>10</v>
      </c>
      <c r="F15" s="360"/>
      <c r="G15" s="135" t="s">
        <v>2</v>
      </c>
      <c r="H15" s="136" t="s">
        <v>3</v>
      </c>
    </row>
    <row r="16" spans="1:8" s="3" customFormat="1" ht="12.75">
      <c r="A16" s="120" t="s">
        <v>136</v>
      </c>
      <c r="B16" s="121" t="s">
        <v>60</v>
      </c>
      <c r="C16" s="122" t="s">
        <v>70</v>
      </c>
      <c r="D16" s="123" t="s">
        <v>71</v>
      </c>
      <c r="E16" s="348" t="s">
        <v>116</v>
      </c>
      <c r="F16" s="348"/>
      <c r="G16" s="124">
        <f>'PLANILHA DE CALCÚLO (muro)'!F8</f>
        <v>78.62</v>
      </c>
      <c r="H16" s="125" t="s">
        <v>12</v>
      </c>
    </row>
    <row r="17" spans="1:8" s="3" customFormat="1" ht="12.75">
      <c r="A17" s="120" t="s">
        <v>137</v>
      </c>
      <c r="B17" s="121" t="s">
        <v>60</v>
      </c>
      <c r="C17" s="137" t="s">
        <v>74</v>
      </c>
      <c r="D17" s="138" t="s">
        <v>73</v>
      </c>
      <c r="E17" s="348" t="s">
        <v>116</v>
      </c>
      <c r="F17" s="348"/>
      <c r="G17" s="139">
        <f>'PLANILHA DE CALCÚLO (muro)'!I8</f>
        <v>65.52</v>
      </c>
      <c r="H17" s="140" t="s">
        <v>8</v>
      </c>
    </row>
    <row r="18" spans="1:8" s="3" customFormat="1" ht="22.5">
      <c r="A18" s="120" t="s">
        <v>138</v>
      </c>
      <c r="B18" s="141" t="s">
        <v>21</v>
      </c>
      <c r="C18" s="142" t="s">
        <v>77</v>
      </c>
      <c r="D18" s="138" t="s">
        <v>78</v>
      </c>
      <c r="E18" s="348" t="s">
        <v>116</v>
      </c>
      <c r="F18" s="348"/>
      <c r="G18" s="139">
        <f>G17</f>
        <v>65.52</v>
      </c>
      <c r="H18" s="140" t="s">
        <v>8</v>
      </c>
    </row>
    <row r="19" spans="1:8" s="3" customFormat="1" ht="12.75">
      <c r="A19" s="120" t="s">
        <v>139</v>
      </c>
      <c r="B19" s="121" t="s">
        <v>60</v>
      </c>
      <c r="C19" s="142" t="s">
        <v>84</v>
      </c>
      <c r="D19" s="138" t="s">
        <v>83</v>
      </c>
      <c r="E19" s="348" t="s">
        <v>116</v>
      </c>
      <c r="F19" s="348"/>
      <c r="G19" s="139">
        <f>'PLANILHA DE CALCÚLO (muro)'!G8</f>
        <v>39.29</v>
      </c>
      <c r="H19" s="140" t="s">
        <v>12</v>
      </c>
    </row>
    <row r="20" spans="1:8" s="3" customFormat="1" ht="12.75">
      <c r="A20" s="120" t="s">
        <v>140</v>
      </c>
      <c r="B20" s="121" t="s">
        <v>60</v>
      </c>
      <c r="C20" s="141" t="s">
        <v>81</v>
      </c>
      <c r="D20" s="143" t="s">
        <v>80</v>
      </c>
      <c r="E20" s="358" t="s">
        <v>99</v>
      </c>
      <c r="F20" s="358"/>
      <c r="G20" s="139">
        <f>5.3*72</f>
        <v>381.6</v>
      </c>
      <c r="H20" s="140" t="s">
        <v>79</v>
      </c>
    </row>
    <row r="21" spans="1:8" s="3" customFormat="1" ht="23.25" thickBot="1">
      <c r="A21" s="120" t="s">
        <v>141</v>
      </c>
      <c r="B21" s="126" t="s">
        <v>60</v>
      </c>
      <c r="C21" s="144" t="s">
        <v>86</v>
      </c>
      <c r="D21" s="128" t="s">
        <v>85</v>
      </c>
      <c r="E21" s="348" t="s">
        <v>116</v>
      </c>
      <c r="F21" s="348"/>
      <c r="G21" s="145">
        <f>'PLANILHA DE CALCÚLO (muro)'!J8</f>
        <v>39.31</v>
      </c>
      <c r="H21" s="130" t="s">
        <v>12</v>
      </c>
    </row>
    <row r="22" spans="1:8" s="3" customFormat="1" ht="18.75" customHeight="1" thickBot="1">
      <c r="A22" s="131" t="s">
        <v>57</v>
      </c>
      <c r="B22" s="349" t="s">
        <v>88</v>
      </c>
      <c r="C22" s="350"/>
      <c r="D22" s="350"/>
      <c r="E22" s="350"/>
      <c r="F22" s="350"/>
      <c r="G22" s="350"/>
      <c r="H22" s="351"/>
    </row>
    <row r="23" spans="1:8" ht="13.5" customHeight="1">
      <c r="A23" s="146" t="s">
        <v>0</v>
      </c>
      <c r="B23" s="147" t="s">
        <v>22</v>
      </c>
      <c r="C23" s="148" t="s">
        <v>5</v>
      </c>
      <c r="D23" s="148" t="s">
        <v>1</v>
      </c>
      <c r="E23" s="352" t="s">
        <v>10</v>
      </c>
      <c r="F23" s="353"/>
      <c r="G23" s="149" t="s">
        <v>2</v>
      </c>
      <c r="H23" s="150" t="s">
        <v>3</v>
      </c>
    </row>
    <row r="24" spans="1:8" s="3" customFormat="1" ht="12.75">
      <c r="A24" s="151" t="s">
        <v>142</v>
      </c>
      <c r="B24" s="121" t="s">
        <v>60</v>
      </c>
      <c r="C24" s="122" t="s">
        <v>70</v>
      </c>
      <c r="D24" s="123" t="s">
        <v>71</v>
      </c>
      <c r="E24" s="348" t="s">
        <v>116</v>
      </c>
      <c r="F24" s="348"/>
      <c r="G24" s="152">
        <f>'PLANILHA DE CALCÚLO (muro)'!F17</f>
        <v>3.7</v>
      </c>
      <c r="H24" s="125" t="s">
        <v>12</v>
      </c>
    </row>
    <row r="25" spans="1:8" s="3" customFormat="1" ht="22.5">
      <c r="A25" s="151" t="s">
        <v>143</v>
      </c>
      <c r="B25" s="141" t="s">
        <v>21</v>
      </c>
      <c r="C25" s="137">
        <v>101619</v>
      </c>
      <c r="D25" s="138" t="s">
        <v>87</v>
      </c>
      <c r="E25" s="348" t="s">
        <v>116</v>
      </c>
      <c r="F25" s="348"/>
      <c r="G25" s="139">
        <f>G24</f>
        <v>3.7</v>
      </c>
      <c r="H25" s="140" t="s">
        <v>12</v>
      </c>
    </row>
    <row r="26" spans="1:8" s="3" customFormat="1" ht="12.75">
      <c r="A26" s="151" t="s">
        <v>144</v>
      </c>
      <c r="B26" s="121" t="s">
        <v>60</v>
      </c>
      <c r="C26" s="141" t="s">
        <v>81</v>
      </c>
      <c r="D26" s="143" t="s">
        <v>80</v>
      </c>
      <c r="E26" s="348" t="s">
        <v>116</v>
      </c>
      <c r="F26" s="348"/>
      <c r="G26" s="139">
        <f>'PLANILHA DE CALCÚLO (muro)'!G33</f>
        <v>834.43</v>
      </c>
      <c r="H26" s="140" t="s">
        <v>79</v>
      </c>
    </row>
    <row r="27" spans="1:8" s="3" customFormat="1" ht="12.75">
      <c r="A27" s="151" t="s">
        <v>145</v>
      </c>
      <c r="B27" s="121" t="s">
        <v>60</v>
      </c>
      <c r="C27" s="141" t="s">
        <v>93</v>
      </c>
      <c r="D27" s="143" t="s">
        <v>92</v>
      </c>
      <c r="E27" s="348" t="s">
        <v>116</v>
      </c>
      <c r="F27" s="348"/>
      <c r="G27" s="139">
        <f>'PLANILHA DE CALCÚLO (muro)'!L33</f>
        <v>281.95</v>
      </c>
      <c r="H27" s="140" t="s">
        <v>79</v>
      </c>
    </row>
    <row r="28" spans="1:8" s="3" customFormat="1" ht="22.5">
      <c r="A28" s="151" t="s">
        <v>146</v>
      </c>
      <c r="B28" s="153" t="s">
        <v>60</v>
      </c>
      <c r="C28" s="154" t="s">
        <v>86</v>
      </c>
      <c r="D28" s="138" t="s">
        <v>85</v>
      </c>
      <c r="E28" s="348" t="s">
        <v>116</v>
      </c>
      <c r="F28" s="348"/>
      <c r="G28" s="139">
        <f>'PLANILHA DE CALCÚLO (muro)'!J18</f>
        <v>19.22</v>
      </c>
      <c r="H28" s="140" t="s">
        <v>12</v>
      </c>
    </row>
    <row r="29" spans="1:8" s="3" customFormat="1" ht="23.25" thickBot="1">
      <c r="A29" s="151" t="s">
        <v>147</v>
      </c>
      <c r="B29" s="155" t="s">
        <v>60</v>
      </c>
      <c r="C29" s="156" t="s">
        <v>90</v>
      </c>
      <c r="D29" s="157" t="s">
        <v>89</v>
      </c>
      <c r="E29" s="348" t="s">
        <v>116</v>
      </c>
      <c r="F29" s="348"/>
      <c r="G29" s="158">
        <f>'PLANILHA DE CALCÚLO (muro)'!H18/5</f>
        <v>4.23</v>
      </c>
      <c r="H29" s="159" t="s">
        <v>8</v>
      </c>
    </row>
    <row r="30" spans="1:8" s="3" customFormat="1" ht="18.75" customHeight="1" thickBot="1">
      <c r="A30" s="131" t="s">
        <v>58</v>
      </c>
      <c r="B30" s="349" t="s">
        <v>91</v>
      </c>
      <c r="C30" s="350"/>
      <c r="D30" s="350"/>
      <c r="E30" s="350"/>
      <c r="F30" s="350"/>
      <c r="G30" s="350"/>
      <c r="H30" s="351"/>
    </row>
    <row r="31" spans="1:8" ht="13.5" customHeight="1">
      <c r="A31" s="146" t="s">
        <v>0</v>
      </c>
      <c r="B31" s="147" t="s">
        <v>22</v>
      </c>
      <c r="C31" s="148" t="s">
        <v>5</v>
      </c>
      <c r="D31" s="148" t="s">
        <v>1</v>
      </c>
      <c r="E31" s="352" t="s">
        <v>10</v>
      </c>
      <c r="F31" s="353"/>
      <c r="G31" s="149" t="s">
        <v>2</v>
      </c>
      <c r="H31" s="150" t="s">
        <v>3</v>
      </c>
    </row>
    <row r="32" spans="1:8" s="3" customFormat="1" ht="12.75">
      <c r="A32" s="151" t="s">
        <v>148</v>
      </c>
      <c r="B32" s="121" t="s">
        <v>60</v>
      </c>
      <c r="C32" s="141" t="s">
        <v>81</v>
      </c>
      <c r="D32" s="143" t="s">
        <v>80</v>
      </c>
      <c r="E32" s="358" t="s">
        <v>99</v>
      </c>
      <c r="F32" s="358"/>
      <c r="G32" s="139">
        <f>10*'PLANILHA DE CALCÚLO (muro)'!B12</f>
        <v>1560</v>
      </c>
      <c r="H32" s="140" t="s">
        <v>79</v>
      </c>
    </row>
    <row r="33" spans="1:8" s="3" customFormat="1" ht="12.75">
      <c r="A33" s="151" t="s">
        <v>149</v>
      </c>
      <c r="B33" s="121" t="s">
        <v>60</v>
      </c>
      <c r="C33" s="141" t="s">
        <v>93</v>
      </c>
      <c r="D33" s="143" t="s">
        <v>92</v>
      </c>
      <c r="E33" s="358" t="s">
        <v>99</v>
      </c>
      <c r="F33" s="358"/>
      <c r="G33" s="139">
        <f>3.5*'PLANILHA DE CALCÚLO (muro)'!B12</f>
        <v>546</v>
      </c>
      <c r="H33" s="140" t="s">
        <v>79</v>
      </c>
    </row>
    <row r="34" spans="1:8" s="3" customFormat="1" ht="22.5" customHeight="1">
      <c r="A34" s="151" t="s">
        <v>150</v>
      </c>
      <c r="B34" s="153" t="s">
        <v>60</v>
      </c>
      <c r="C34" s="154" t="s">
        <v>86</v>
      </c>
      <c r="D34" s="138" t="s">
        <v>85</v>
      </c>
      <c r="E34" s="348" t="s">
        <v>116</v>
      </c>
      <c r="F34" s="348"/>
      <c r="G34" s="139">
        <f>'PLANILHA DE CALCÚLO (muro)'!J13</f>
        <v>15.33</v>
      </c>
      <c r="H34" s="140" t="s">
        <v>12</v>
      </c>
    </row>
    <row r="35" spans="1:8" s="3" customFormat="1" ht="23.25" thickBot="1">
      <c r="A35" s="151" t="s">
        <v>151</v>
      </c>
      <c r="B35" s="153" t="s">
        <v>60</v>
      </c>
      <c r="C35" s="154" t="s">
        <v>90</v>
      </c>
      <c r="D35" s="138" t="s">
        <v>89</v>
      </c>
      <c r="E35" s="348" t="s">
        <v>116</v>
      </c>
      <c r="F35" s="348"/>
      <c r="G35" s="139">
        <f>'PLANILHA DE CALCÚLO (muro)'!H13/5</f>
        <v>24.09</v>
      </c>
      <c r="H35" s="140" t="s">
        <v>8</v>
      </c>
    </row>
    <row r="36" spans="1:8" s="3" customFormat="1" ht="18.75" customHeight="1" thickBot="1">
      <c r="A36" s="131" t="s">
        <v>75</v>
      </c>
      <c r="B36" s="349" t="s">
        <v>159</v>
      </c>
      <c r="C36" s="350"/>
      <c r="D36" s="350"/>
      <c r="E36" s="350"/>
      <c r="F36" s="350"/>
      <c r="G36" s="350"/>
      <c r="H36" s="351"/>
    </row>
    <row r="37" spans="1:8" ht="13.5" customHeight="1">
      <c r="A37" s="146" t="s">
        <v>0</v>
      </c>
      <c r="B37" s="147" t="s">
        <v>22</v>
      </c>
      <c r="C37" s="148" t="s">
        <v>5</v>
      </c>
      <c r="D37" s="148" t="s">
        <v>1</v>
      </c>
      <c r="E37" s="352" t="s">
        <v>10</v>
      </c>
      <c r="F37" s="353"/>
      <c r="G37" s="149" t="s">
        <v>2</v>
      </c>
      <c r="H37" s="150" t="s">
        <v>3</v>
      </c>
    </row>
    <row r="38" spans="1:8" s="3" customFormat="1" ht="23.25" thickBot="1">
      <c r="A38" s="151" t="s">
        <v>152</v>
      </c>
      <c r="B38" s="141" t="s">
        <v>21</v>
      </c>
      <c r="C38" s="141">
        <v>93205</v>
      </c>
      <c r="D38" s="143" t="s">
        <v>239</v>
      </c>
      <c r="E38" s="348" t="s">
        <v>116</v>
      </c>
      <c r="F38" s="348"/>
      <c r="G38" s="139">
        <f>'PLANILHA DE CALCÚLO (muro)'!C22</f>
        <v>516.12</v>
      </c>
      <c r="H38" s="140" t="s">
        <v>11</v>
      </c>
    </row>
    <row r="39" spans="1:8" s="3" customFormat="1" ht="18.75" customHeight="1" thickBot="1">
      <c r="A39" s="131" t="s">
        <v>76</v>
      </c>
      <c r="B39" s="349" t="s">
        <v>94</v>
      </c>
      <c r="C39" s="350"/>
      <c r="D39" s="350"/>
      <c r="E39" s="350"/>
      <c r="F39" s="350"/>
      <c r="G39" s="350"/>
      <c r="H39" s="351"/>
    </row>
    <row r="40" spans="1:8" ht="13.5" customHeight="1">
      <c r="A40" s="146" t="s">
        <v>0</v>
      </c>
      <c r="B40" s="147" t="s">
        <v>22</v>
      </c>
      <c r="C40" s="148" t="s">
        <v>5</v>
      </c>
      <c r="D40" s="148" t="s">
        <v>1</v>
      </c>
      <c r="E40" s="352" t="s">
        <v>10</v>
      </c>
      <c r="F40" s="353"/>
      <c r="G40" s="149" t="s">
        <v>2</v>
      </c>
      <c r="H40" s="150" t="s">
        <v>3</v>
      </c>
    </row>
    <row r="41" spans="1:8" s="3" customFormat="1" ht="23.25" thickBot="1">
      <c r="A41" s="151" t="s">
        <v>154</v>
      </c>
      <c r="B41" s="121" t="s">
        <v>60</v>
      </c>
      <c r="C41" s="141" t="s">
        <v>128</v>
      </c>
      <c r="D41" s="143" t="s">
        <v>127</v>
      </c>
      <c r="E41" s="348" t="s">
        <v>116</v>
      </c>
      <c r="F41" s="348"/>
      <c r="G41" s="139">
        <f>'PLANILHA DE CALCÚLO (muro)'!B28*1.05</f>
        <v>1098.54</v>
      </c>
      <c r="H41" s="140" t="s">
        <v>8</v>
      </c>
    </row>
    <row r="42" spans="1:8" s="3" customFormat="1" ht="18.75" customHeight="1" thickBot="1">
      <c r="A42" s="131" t="s">
        <v>82</v>
      </c>
      <c r="B42" s="349" t="s">
        <v>96</v>
      </c>
      <c r="C42" s="350"/>
      <c r="D42" s="350"/>
      <c r="E42" s="350"/>
      <c r="F42" s="350"/>
      <c r="G42" s="350"/>
      <c r="H42" s="351"/>
    </row>
    <row r="43" spans="1:8" ht="13.5" customHeight="1">
      <c r="A43" s="146" t="s">
        <v>0</v>
      </c>
      <c r="B43" s="147" t="s">
        <v>22</v>
      </c>
      <c r="C43" s="148" t="s">
        <v>5</v>
      </c>
      <c r="D43" s="148" t="s">
        <v>1</v>
      </c>
      <c r="E43" s="352" t="s">
        <v>10</v>
      </c>
      <c r="F43" s="353"/>
      <c r="G43" s="149" t="s">
        <v>2</v>
      </c>
      <c r="H43" s="150" t="s">
        <v>3</v>
      </c>
    </row>
    <row r="44" spans="1:8" s="3" customFormat="1" ht="23.25" thickBot="1">
      <c r="A44" s="151" t="s">
        <v>155</v>
      </c>
      <c r="B44" s="121" t="s">
        <v>60</v>
      </c>
      <c r="C44" s="141" t="s">
        <v>98</v>
      </c>
      <c r="D44" s="143" t="s">
        <v>97</v>
      </c>
      <c r="E44" s="358" t="s">
        <v>463</v>
      </c>
      <c r="F44" s="358"/>
      <c r="G44" s="139">
        <f>(G47+G48)*2</f>
        <v>57.6</v>
      </c>
      <c r="H44" s="140" t="s">
        <v>8</v>
      </c>
    </row>
    <row r="45" spans="1:8" s="3" customFormat="1" ht="18.75" customHeight="1" thickBot="1">
      <c r="A45" s="131" t="s">
        <v>156</v>
      </c>
      <c r="B45" s="349" t="s">
        <v>129</v>
      </c>
      <c r="C45" s="350"/>
      <c r="D45" s="350"/>
      <c r="E45" s="350"/>
      <c r="F45" s="350"/>
      <c r="G45" s="350"/>
      <c r="H45" s="351"/>
    </row>
    <row r="46" spans="1:8" ht="13.5" customHeight="1">
      <c r="A46" s="146" t="s">
        <v>0</v>
      </c>
      <c r="B46" s="147" t="s">
        <v>22</v>
      </c>
      <c r="C46" s="148" t="s">
        <v>5</v>
      </c>
      <c r="D46" s="148" t="s">
        <v>1</v>
      </c>
      <c r="E46" s="352" t="s">
        <v>10</v>
      </c>
      <c r="F46" s="353"/>
      <c r="G46" s="149" t="s">
        <v>2</v>
      </c>
      <c r="H46" s="150" t="s">
        <v>3</v>
      </c>
    </row>
    <row r="47" spans="1:8" s="3" customFormat="1" ht="12.75">
      <c r="A47" s="151" t="s">
        <v>157</v>
      </c>
      <c r="B47" s="121" t="s">
        <v>60</v>
      </c>
      <c r="C47" s="141" t="s">
        <v>176</v>
      </c>
      <c r="D47" s="143" t="s">
        <v>175</v>
      </c>
      <c r="E47" s="358" t="s">
        <v>174</v>
      </c>
      <c r="F47" s="358"/>
      <c r="G47" s="139">
        <f>6*2.4</f>
        <v>14.4</v>
      </c>
      <c r="H47" s="140" t="s">
        <v>8</v>
      </c>
    </row>
    <row r="48" spans="1:8" s="3" customFormat="1" ht="13.5" thickBot="1">
      <c r="A48" s="151" t="s">
        <v>466</v>
      </c>
      <c r="B48" s="121" t="s">
        <v>60</v>
      </c>
      <c r="C48" s="141" t="s">
        <v>465</v>
      </c>
      <c r="D48" s="143" t="s">
        <v>464</v>
      </c>
      <c r="E48" s="358" t="s">
        <v>174</v>
      </c>
      <c r="F48" s="358"/>
      <c r="G48" s="139">
        <f>6*2.4</f>
        <v>14.4</v>
      </c>
      <c r="H48" s="140" t="s">
        <v>8</v>
      </c>
    </row>
    <row r="49" spans="1:8" s="3" customFormat="1" ht="18.75" customHeight="1" thickBot="1">
      <c r="A49" s="114">
        <v>3</v>
      </c>
      <c r="B49" s="361" t="s">
        <v>178</v>
      </c>
      <c r="C49" s="362"/>
      <c r="D49" s="362"/>
      <c r="E49" s="362"/>
      <c r="F49" s="362"/>
      <c r="G49" s="362"/>
      <c r="H49" s="363"/>
    </row>
    <row r="50" spans="1:8" s="3" customFormat="1" ht="18.75" customHeight="1" thickBot="1">
      <c r="A50" s="131" t="s">
        <v>179</v>
      </c>
      <c r="B50" s="349" t="s">
        <v>231</v>
      </c>
      <c r="C50" s="350"/>
      <c r="D50" s="350"/>
      <c r="E50" s="350"/>
      <c r="F50" s="350"/>
      <c r="G50" s="350"/>
      <c r="H50" s="351"/>
    </row>
    <row r="51" spans="1:8" ht="13.5" customHeight="1" thickBot="1">
      <c r="A51" s="132" t="s">
        <v>0</v>
      </c>
      <c r="B51" s="133" t="s">
        <v>22</v>
      </c>
      <c r="C51" s="134" t="s">
        <v>5</v>
      </c>
      <c r="D51" s="134" t="s">
        <v>1</v>
      </c>
      <c r="E51" s="359" t="s">
        <v>10</v>
      </c>
      <c r="F51" s="360"/>
      <c r="G51" s="135" t="s">
        <v>2</v>
      </c>
      <c r="H51" s="136" t="s">
        <v>3</v>
      </c>
    </row>
    <row r="52" spans="1:8" s="3" customFormat="1" ht="12.75">
      <c r="A52" s="120" t="s">
        <v>240</v>
      </c>
      <c r="B52" s="121" t="s">
        <v>60</v>
      </c>
      <c r="C52" s="122" t="s">
        <v>70</v>
      </c>
      <c r="D52" s="123" t="s">
        <v>71</v>
      </c>
      <c r="E52" s="348" t="s">
        <v>116</v>
      </c>
      <c r="F52" s="348"/>
      <c r="G52" s="124">
        <f>'PLANILHA DE CALCÚLO (baias)'!F8</f>
        <v>12.67</v>
      </c>
      <c r="H52" s="125" t="s">
        <v>12</v>
      </c>
    </row>
    <row r="53" spans="1:8" s="3" customFormat="1" ht="12.75">
      <c r="A53" s="120" t="s">
        <v>241</v>
      </c>
      <c r="B53" s="121" t="s">
        <v>60</v>
      </c>
      <c r="C53" s="137" t="s">
        <v>74</v>
      </c>
      <c r="D53" s="138" t="s">
        <v>73</v>
      </c>
      <c r="E53" s="348" t="s">
        <v>116</v>
      </c>
      <c r="F53" s="348"/>
      <c r="G53" s="139">
        <f>'PLANILHA DE CALCÚLO (baias)'!I8</f>
        <v>10.56</v>
      </c>
      <c r="H53" s="140" t="s">
        <v>8</v>
      </c>
    </row>
    <row r="54" spans="1:8" s="3" customFormat="1" ht="22.5">
      <c r="A54" s="120" t="s">
        <v>242</v>
      </c>
      <c r="B54" s="141" t="s">
        <v>21</v>
      </c>
      <c r="C54" s="142" t="s">
        <v>77</v>
      </c>
      <c r="D54" s="138" t="s">
        <v>78</v>
      </c>
      <c r="E54" s="348" t="s">
        <v>116</v>
      </c>
      <c r="F54" s="348"/>
      <c r="G54" s="139">
        <f>G53</f>
        <v>10.56</v>
      </c>
      <c r="H54" s="140" t="s">
        <v>8</v>
      </c>
    </row>
    <row r="55" spans="1:8" s="3" customFormat="1" ht="12.75">
      <c r="A55" s="120" t="s">
        <v>243</v>
      </c>
      <c r="B55" s="121" t="s">
        <v>60</v>
      </c>
      <c r="C55" s="142" t="s">
        <v>84</v>
      </c>
      <c r="D55" s="138" t="s">
        <v>83</v>
      </c>
      <c r="E55" s="348" t="s">
        <v>116</v>
      </c>
      <c r="F55" s="348"/>
      <c r="G55" s="139">
        <f>'PLANILHA DE CALCÚLO (baias)'!G7</f>
        <v>6.3</v>
      </c>
      <c r="H55" s="140" t="s">
        <v>12</v>
      </c>
    </row>
    <row r="56" spans="1:8" s="3" customFormat="1" ht="12.75">
      <c r="A56" s="120" t="s">
        <v>244</v>
      </c>
      <c r="B56" s="121" t="s">
        <v>60</v>
      </c>
      <c r="C56" s="141" t="s">
        <v>81</v>
      </c>
      <c r="D56" s="143" t="s">
        <v>80</v>
      </c>
      <c r="E56" s="348" t="s">
        <v>116</v>
      </c>
      <c r="F56" s="348"/>
      <c r="G56" s="139">
        <f>'PLANILHA DE CALCÚLO (baias)'!G33</f>
        <v>129.32</v>
      </c>
      <c r="H56" s="140" t="s">
        <v>79</v>
      </c>
    </row>
    <row r="57" spans="1:8" s="3" customFormat="1" ht="12.75">
      <c r="A57" s="120" t="s">
        <v>245</v>
      </c>
      <c r="B57" s="121" t="s">
        <v>60</v>
      </c>
      <c r="C57" s="141" t="s">
        <v>93</v>
      </c>
      <c r="D57" s="143" t="s">
        <v>92</v>
      </c>
      <c r="E57" s="348" t="s">
        <v>116</v>
      </c>
      <c r="F57" s="348"/>
      <c r="G57" s="139">
        <f>'PLANILHA DE CALCÚLO (baias)'!L33</f>
        <v>27.97</v>
      </c>
      <c r="H57" s="140" t="s">
        <v>79</v>
      </c>
    </row>
    <row r="58" spans="1:8" s="3" customFormat="1" ht="23.25" thickBot="1">
      <c r="A58" s="120" t="s">
        <v>246</v>
      </c>
      <c r="B58" s="126" t="s">
        <v>60</v>
      </c>
      <c r="C58" s="144" t="s">
        <v>86</v>
      </c>
      <c r="D58" s="128" t="s">
        <v>85</v>
      </c>
      <c r="E58" s="348" t="s">
        <v>116</v>
      </c>
      <c r="F58" s="348"/>
      <c r="G58" s="145">
        <f>'PLANILHA DE CALCÚLO (baias)'!J8</f>
        <v>6.34</v>
      </c>
      <c r="H58" s="130" t="s">
        <v>12</v>
      </c>
    </row>
    <row r="59" spans="1:8" s="3" customFormat="1" ht="18.75" customHeight="1" thickBot="1">
      <c r="A59" s="131" t="s">
        <v>59</v>
      </c>
      <c r="B59" s="349" t="s">
        <v>88</v>
      </c>
      <c r="C59" s="350"/>
      <c r="D59" s="350"/>
      <c r="E59" s="350"/>
      <c r="F59" s="350"/>
      <c r="G59" s="350"/>
      <c r="H59" s="351"/>
    </row>
    <row r="60" spans="1:8" ht="13.5" customHeight="1">
      <c r="A60" s="146" t="s">
        <v>0</v>
      </c>
      <c r="B60" s="147" t="s">
        <v>22</v>
      </c>
      <c r="C60" s="148" t="s">
        <v>5</v>
      </c>
      <c r="D60" s="148" t="s">
        <v>1</v>
      </c>
      <c r="E60" s="352" t="s">
        <v>10</v>
      </c>
      <c r="F60" s="353"/>
      <c r="G60" s="149" t="s">
        <v>2</v>
      </c>
      <c r="H60" s="150" t="s">
        <v>3</v>
      </c>
    </row>
    <row r="61" spans="1:8" s="3" customFormat="1" ht="12.75">
      <c r="A61" s="151" t="s">
        <v>158</v>
      </c>
      <c r="B61" s="121" t="s">
        <v>60</v>
      </c>
      <c r="C61" s="141" t="s">
        <v>81</v>
      </c>
      <c r="D61" s="143" t="s">
        <v>80</v>
      </c>
      <c r="E61" s="348" t="s">
        <v>116</v>
      </c>
      <c r="F61" s="348"/>
      <c r="G61" s="139">
        <f>'PLANILHA DE CALCÚLO (baias)'!G33</f>
        <v>129.32</v>
      </c>
      <c r="H61" s="140" t="s">
        <v>79</v>
      </c>
    </row>
    <row r="62" spans="1:8" s="3" customFormat="1" ht="12.75">
      <c r="A62" s="151" t="s">
        <v>180</v>
      </c>
      <c r="B62" s="121" t="s">
        <v>60</v>
      </c>
      <c r="C62" s="141" t="s">
        <v>93</v>
      </c>
      <c r="D62" s="143" t="s">
        <v>92</v>
      </c>
      <c r="E62" s="348" t="s">
        <v>116</v>
      </c>
      <c r="F62" s="348"/>
      <c r="G62" s="139">
        <f>'PLANILHA DE CALCÚLO (baias)'!L33</f>
        <v>27.97</v>
      </c>
      <c r="H62" s="140" t="s">
        <v>79</v>
      </c>
    </row>
    <row r="63" spans="1:8" s="3" customFormat="1" ht="22.5">
      <c r="A63" s="151" t="s">
        <v>181</v>
      </c>
      <c r="B63" s="153" t="s">
        <v>60</v>
      </c>
      <c r="C63" s="154" t="s">
        <v>86</v>
      </c>
      <c r="D63" s="138" t="s">
        <v>85</v>
      </c>
      <c r="E63" s="348" t="s">
        <v>116</v>
      </c>
      <c r="F63" s="348"/>
      <c r="G63" s="139">
        <f>'PLANILHA DE CALCÚLO (baias)'!J18</f>
        <v>3.14</v>
      </c>
      <c r="H63" s="140" t="s">
        <v>12</v>
      </c>
    </row>
    <row r="64" spans="1:8" s="3" customFormat="1" ht="23.25" thickBot="1">
      <c r="A64" s="151" t="s">
        <v>182</v>
      </c>
      <c r="B64" s="155" t="s">
        <v>60</v>
      </c>
      <c r="C64" s="156" t="s">
        <v>90</v>
      </c>
      <c r="D64" s="157" t="s">
        <v>89</v>
      </c>
      <c r="E64" s="348" t="s">
        <v>116</v>
      </c>
      <c r="F64" s="348"/>
      <c r="G64" s="158">
        <f>'PLANILHA DE CALCÚLO (baias)'!H18</f>
        <v>3.46</v>
      </c>
      <c r="H64" s="159" t="s">
        <v>8</v>
      </c>
    </row>
    <row r="65" spans="1:8" s="3" customFormat="1" ht="18.75" customHeight="1" thickBot="1">
      <c r="A65" s="131" t="s">
        <v>183</v>
      </c>
      <c r="B65" s="349" t="s">
        <v>237</v>
      </c>
      <c r="C65" s="350"/>
      <c r="D65" s="350"/>
      <c r="E65" s="350"/>
      <c r="F65" s="350"/>
      <c r="G65" s="350"/>
      <c r="H65" s="351"/>
    </row>
    <row r="66" spans="1:8" ht="13.5" customHeight="1">
      <c r="A66" s="146" t="s">
        <v>0</v>
      </c>
      <c r="B66" s="147" t="s">
        <v>22</v>
      </c>
      <c r="C66" s="148" t="s">
        <v>5</v>
      </c>
      <c r="D66" s="148" t="s">
        <v>1</v>
      </c>
      <c r="E66" s="352" t="s">
        <v>10</v>
      </c>
      <c r="F66" s="353"/>
      <c r="G66" s="149" t="s">
        <v>2</v>
      </c>
      <c r="H66" s="150" t="s">
        <v>3</v>
      </c>
    </row>
    <row r="67" spans="1:8" s="3" customFormat="1" ht="12.75">
      <c r="A67" s="151" t="s">
        <v>184</v>
      </c>
      <c r="B67" s="121" t="s">
        <v>60</v>
      </c>
      <c r="C67" s="141" t="s">
        <v>81</v>
      </c>
      <c r="D67" s="143" t="s">
        <v>80</v>
      </c>
      <c r="E67" s="348" t="s">
        <v>116</v>
      </c>
      <c r="F67" s="348"/>
      <c r="G67" s="139">
        <f>'PLANILHA DE CALCÚLO (baias)'!G38</f>
        <v>82.79</v>
      </c>
      <c r="H67" s="140" t="s">
        <v>79</v>
      </c>
    </row>
    <row r="68" spans="1:8" s="3" customFormat="1" ht="12.75">
      <c r="A68" s="151" t="s">
        <v>247</v>
      </c>
      <c r="B68" s="121" t="s">
        <v>60</v>
      </c>
      <c r="C68" s="141" t="s">
        <v>93</v>
      </c>
      <c r="D68" s="143" t="s">
        <v>92</v>
      </c>
      <c r="E68" s="348" t="s">
        <v>116</v>
      </c>
      <c r="F68" s="348"/>
      <c r="G68" s="139">
        <f>'PLANILHA DE CALCÚLO (baias)'!L38</f>
        <v>27.97</v>
      </c>
      <c r="H68" s="140" t="s">
        <v>79</v>
      </c>
    </row>
    <row r="69" spans="1:8" s="3" customFormat="1" ht="22.5">
      <c r="A69" s="151" t="s">
        <v>248</v>
      </c>
      <c r="B69" s="153" t="s">
        <v>60</v>
      </c>
      <c r="C69" s="154" t="s">
        <v>86</v>
      </c>
      <c r="D69" s="138" t="s">
        <v>85</v>
      </c>
      <c r="E69" s="348" t="s">
        <v>116</v>
      </c>
      <c r="F69" s="348"/>
      <c r="G69" s="139">
        <f>'PLANILHA DE CALCÚLO (baias)'!J23</f>
        <v>3.14</v>
      </c>
      <c r="H69" s="140" t="s">
        <v>12</v>
      </c>
    </row>
    <row r="70" spans="1:8" s="3" customFormat="1" ht="23.25" thickBot="1">
      <c r="A70" s="151" t="s">
        <v>249</v>
      </c>
      <c r="B70" s="155" t="s">
        <v>60</v>
      </c>
      <c r="C70" s="156" t="s">
        <v>90</v>
      </c>
      <c r="D70" s="157" t="s">
        <v>89</v>
      </c>
      <c r="E70" s="348" t="s">
        <v>116</v>
      </c>
      <c r="F70" s="348"/>
      <c r="G70" s="158">
        <f>'PLANILHA DE CALCÚLO (baias)'!H23</f>
        <v>3.46</v>
      </c>
      <c r="H70" s="159" t="s">
        <v>8</v>
      </c>
    </row>
    <row r="71" spans="1:8" s="3" customFormat="1" ht="18.75" customHeight="1" thickBot="1">
      <c r="A71" s="131" t="s">
        <v>250</v>
      </c>
      <c r="B71" s="349" t="s">
        <v>94</v>
      </c>
      <c r="C71" s="350"/>
      <c r="D71" s="350"/>
      <c r="E71" s="350"/>
      <c r="F71" s="350"/>
      <c r="G71" s="350"/>
      <c r="H71" s="351"/>
    </row>
    <row r="72" spans="1:8" ht="13.5" customHeight="1">
      <c r="A72" s="146" t="s">
        <v>0</v>
      </c>
      <c r="B72" s="147" t="s">
        <v>22</v>
      </c>
      <c r="C72" s="148" t="s">
        <v>5</v>
      </c>
      <c r="D72" s="148" t="s">
        <v>1</v>
      </c>
      <c r="E72" s="352" t="s">
        <v>10</v>
      </c>
      <c r="F72" s="353"/>
      <c r="G72" s="149" t="s">
        <v>2</v>
      </c>
      <c r="H72" s="150" t="s">
        <v>3</v>
      </c>
    </row>
    <row r="73" spans="1:8" s="3" customFormat="1" ht="23.25" thickBot="1">
      <c r="A73" s="151" t="s">
        <v>251</v>
      </c>
      <c r="B73" s="121" t="s">
        <v>60</v>
      </c>
      <c r="C73" s="141" t="s">
        <v>128</v>
      </c>
      <c r="D73" s="143" t="s">
        <v>127</v>
      </c>
      <c r="E73" s="348" t="s">
        <v>116</v>
      </c>
      <c r="F73" s="348"/>
      <c r="G73" s="139">
        <f>'PLANILHA DE CALCÚLO (baias)'!B28</f>
        <v>36.68</v>
      </c>
      <c r="H73" s="140" t="s">
        <v>8</v>
      </c>
    </row>
    <row r="74" spans="1:8" s="3" customFormat="1" ht="18.75" customHeight="1" thickBot="1">
      <c r="A74" s="131" t="s">
        <v>315</v>
      </c>
      <c r="B74" s="349" t="s">
        <v>96</v>
      </c>
      <c r="C74" s="350"/>
      <c r="D74" s="350"/>
      <c r="E74" s="350"/>
      <c r="F74" s="350"/>
      <c r="G74" s="350"/>
      <c r="H74" s="351"/>
    </row>
    <row r="75" spans="1:8" ht="13.5" customHeight="1">
      <c r="A75" s="146" t="s">
        <v>0</v>
      </c>
      <c r="B75" s="147" t="s">
        <v>22</v>
      </c>
      <c r="C75" s="148" t="s">
        <v>5</v>
      </c>
      <c r="D75" s="148" t="s">
        <v>1</v>
      </c>
      <c r="E75" s="352" t="s">
        <v>10</v>
      </c>
      <c r="F75" s="353"/>
      <c r="G75" s="149" t="s">
        <v>2</v>
      </c>
      <c r="H75" s="150" t="s">
        <v>3</v>
      </c>
    </row>
    <row r="76" spans="1:8" s="3" customFormat="1" ht="23.25" thickBot="1">
      <c r="A76" s="151" t="s">
        <v>316</v>
      </c>
      <c r="B76" s="121" t="s">
        <v>60</v>
      </c>
      <c r="C76" s="141" t="s">
        <v>304</v>
      </c>
      <c r="D76" s="143" t="s">
        <v>305</v>
      </c>
      <c r="E76" s="348"/>
      <c r="F76" s="348"/>
      <c r="G76" s="139">
        <v>7.9</v>
      </c>
      <c r="H76" s="140" t="s">
        <v>8</v>
      </c>
    </row>
    <row r="77" spans="1:8" s="3" customFormat="1" ht="18.75" customHeight="1" thickBot="1">
      <c r="A77" s="114">
        <v>4</v>
      </c>
      <c r="B77" s="361" t="s">
        <v>252</v>
      </c>
      <c r="C77" s="362"/>
      <c r="D77" s="362"/>
      <c r="E77" s="362"/>
      <c r="F77" s="362"/>
      <c r="G77" s="362"/>
      <c r="H77" s="363"/>
    </row>
    <row r="78" spans="1:8" s="3" customFormat="1" ht="18.75" customHeight="1" thickBot="1">
      <c r="A78" s="131" t="s">
        <v>268</v>
      </c>
      <c r="B78" s="349" t="s">
        <v>185</v>
      </c>
      <c r="C78" s="350"/>
      <c r="D78" s="350"/>
      <c r="E78" s="350"/>
      <c r="F78" s="350"/>
      <c r="G78" s="350"/>
      <c r="H78" s="351"/>
    </row>
    <row r="79" spans="1:8" ht="13.5" customHeight="1" thickBot="1">
      <c r="A79" s="132" t="s">
        <v>0</v>
      </c>
      <c r="B79" s="133" t="s">
        <v>22</v>
      </c>
      <c r="C79" s="134" t="s">
        <v>5</v>
      </c>
      <c r="D79" s="134" t="s">
        <v>1</v>
      </c>
      <c r="E79" s="359" t="s">
        <v>10</v>
      </c>
      <c r="F79" s="360"/>
      <c r="G79" s="135" t="s">
        <v>2</v>
      </c>
      <c r="H79" s="136" t="s">
        <v>3</v>
      </c>
    </row>
    <row r="80" spans="1:8" s="3" customFormat="1" ht="12.75">
      <c r="A80" s="120" t="s">
        <v>269</v>
      </c>
      <c r="B80" s="121" t="s">
        <v>60</v>
      </c>
      <c r="C80" s="122" t="s">
        <v>70</v>
      </c>
      <c r="D80" s="123" t="s">
        <v>71</v>
      </c>
      <c r="E80" s="348" t="s">
        <v>116</v>
      </c>
      <c r="F80" s="348"/>
      <c r="G80" s="124">
        <f>'PLANILHA DE CALCÚLO (usina)'!F11</f>
        <v>26.82</v>
      </c>
      <c r="H80" s="125" t="s">
        <v>12</v>
      </c>
    </row>
    <row r="81" spans="1:8" s="3" customFormat="1" ht="12.75">
      <c r="A81" s="120" t="s">
        <v>270</v>
      </c>
      <c r="B81" s="121" t="s">
        <v>60</v>
      </c>
      <c r="C81" s="137" t="s">
        <v>74</v>
      </c>
      <c r="D81" s="138" t="s">
        <v>73</v>
      </c>
      <c r="E81" s="348" t="s">
        <v>116</v>
      </c>
      <c r="F81" s="348"/>
      <c r="G81" s="139">
        <f>'PLANILHA DE CALCÚLO (usina)'!I11</f>
        <v>2.7</v>
      </c>
      <c r="H81" s="140" t="s">
        <v>8</v>
      </c>
    </row>
    <row r="82" spans="1:8" s="3" customFormat="1" ht="22.5">
      <c r="A82" s="120" t="s">
        <v>271</v>
      </c>
      <c r="B82" s="141" t="s">
        <v>21</v>
      </c>
      <c r="C82" s="142" t="s">
        <v>77</v>
      </c>
      <c r="D82" s="138" t="s">
        <v>78</v>
      </c>
      <c r="E82" s="348" t="s">
        <v>116</v>
      </c>
      <c r="F82" s="348"/>
      <c r="G82" s="139">
        <f>G81</f>
        <v>2.7</v>
      </c>
      <c r="H82" s="140" t="s">
        <v>8</v>
      </c>
    </row>
    <row r="83" spans="1:8" s="3" customFormat="1" ht="12.75">
      <c r="A83" s="120" t="s">
        <v>272</v>
      </c>
      <c r="B83" s="121" t="s">
        <v>60</v>
      </c>
      <c r="C83" s="142" t="s">
        <v>84</v>
      </c>
      <c r="D83" s="138" t="s">
        <v>83</v>
      </c>
      <c r="E83" s="348" t="s">
        <v>116</v>
      </c>
      <c r="F83" s="348"/>
      <c r="G83" s="139">
        <f>'PLANILHA DE CALCÚLO (usina)'!G11</f>
        <v>13.22</v>
      </c>
      <c r="H83" s="140" t="s">
        <v>12</v>
      </c>
    </row>
    <row r="84" spans="1:8" s="3" customFormat="1" ht="12.75">
      <c r="A84" s="120" t="s">
        <v>273</v>
      </c>
      <c r="B84" s="121" t="s">
        <v>60</v>
      </c>
      <c r="C84" s="141" t="s">
        <v>81</v>
      </c>
      <c r="D84" s="143" t="s">
        <v>80</v>
      </c>
      <c r="E84" s="358" t="s">
        <v>99</v>
      </c>
      <c r="F84" s="358"/>
      <c r="G84" s="139">
        <v>335.8</v>
      </c>
      <c r="H84" s="140" t="s">
        <v>79</v>
      </c>
    </row>
    <row r="85" spans="1:8" s="3" customFormat="1" ht="12.75">
      <c r="A85" s="120" t="s">
        <v>274</v>
      </c>
      <c r="B85" s="121" t="s">
        <v>60</v>
      </c>
      <c r="C85" s="141" t="s">
        <v>93</v>
      </c>
      <c r="D85" s="143" t="s">
        <v>92</v>
      </c>
      <c r="E85" s="358" t="s">
        <v>99</v>
      </c>
      <c r="F85" s="358"/>
      <c r="G85" s="139">
        <v>44.4</v>
      </c>
      <c r="H85" s="140" t="s">
        <v>79</v>
      </c>
    </row>
    <row r="86" spans="1:8" s="3" customFormat="1" ht="23.25" thickBot="1">
      <c r="A86" s="120" t="s">
        <v>275</v>
      </c>
      <c r="B86" s="126" t="s">
        <v>60</v>
      </c>
      <c r="C86" s="144" t="s">
        <v>86</v>
      </c>
      <c r="D86" s="128" t="s">
        <v>85</v>
      </c>
      <c r="E86" s="358" t="s">
        <v>99</v>
      </c>
      <c r="F86" s="358"/>
      <c r="G86" s="145">
        <v>7.45</v>
      </c>
      <c r="H86" s="130" t="s">
        <v>12</v>
      </c>
    </row>
    <row r="87" spans="1:8" s="3" customFormat="1" ht="18.75" customHeight="1" thickBot="1">
      <c r="A87" s="131" t="s">
        <v>276</v>
      </c>
      <c r="B87" s="349" t="s">
        <v>88</v>
      </c>
      <c r="C87" s="350"/>
      <c r="D87" s="350"/>
      <c r="E87" s="350"/>
      <c r="F87" s="350"/>
      <c r="G87" s="350"/>
      <c r="H87" s="351"/>
    </row>
    <row r="88" spans="1:8" ht="13.5" customHeight="1">
      <c r="A88" s="146" t="s">
        <v>0</v>
      </c>
      <c r="B88" s="147" t="s">
        <v>22</v>
      </c>
      <c r="C88" s="148" t="s">
        <v>5</v>
      </c>
      <c r="D88" s="148" t="s">
        <v>1</v>
      </c>
      <c r="E88" s="352" t="s">
        <v>10</v>
      </c>
      <c r="F88" s="353"/>
      <c r="G88" s="149" t="s">
        <v>2</v>
      </c>
      <c r="H88" s="150" t="s">
        <v>3</v>
      </c>
    </row>
    <row r="89" spans="1:8" s="3" customFormat="1" ht="12.75">
      <c r="A89" s="151" t="s">
        <v>277</v>
      </c>
      <c r="B89" s="121" t="s">
        <v>60</v>
      </c>
      <c r="C89" s="122" t="s">
        <v>70</v>
      </c>
      <c r="D89" s="123" t="s">
        <v>71</v>
      </c>
      <c r="E89" s="348" t="s">
        <v>116</v>
      </c>
      <c r="F89" s="348"/>
      <c r="G89" s="152">
        <f>'PLANILHA DE CALCÚLO (usina)'!F21</f>
        <v>0.93</v>
      </c>
      <c r="H89" s="125" t="s">
        <v>12</v>
      </c>
    </row>
    <row r="90" spans="1:8" s="3" customFormat="1" ht="22.5">
      <c r="A90" s="151" t="s">
        <v>278</v>
      </c>
      <c r="B90" s="141" t="s">
        <v>21</v>
      </c>
      <c r="C90" s="137">
        <v>101619</v>
      </c>
      <c r="D90" s="138" t="s">
        <v>87</v>
      </c>
      <c r="E90" s="348" t="s">
        <v>116</v>
      </c>
      <c r="F90" s="348"/>
      <c r="G90" s="139">
        <f>G89</f>
        <v>0.93</v>
      </c>
      <c r="H90" s="140" t="s">
        <v>12</v>
      </c>
    </row>
    <row r="91" spans="1:8" s="3" customFormat="1" ht="12.75">
      <c r="A91" s="151" t="s">
        <v>279</v>
      </c>
      <c r="B91" s="121" t="s">
        <v>60</v>
      </c>
      <c r="C91" s="141" t="s">
        <v>81</v>
      </c>
      <c r="D91" s="143" t="s">
        <v>80</v>
      </c>
      <c r="E91" s="358" t="s">
        <v>99</v>
      </c>
      <c r="F91" s="358"/>
      <c r="G91" s="139">
        <v>184.5</v>
      </c>
      <c r="H91" s="140" t="s">
        <v>79</v>
      </c>
    </row>
    <row r="92" spans="1:8" s="3" customFormat="1" ht="12.75">
      <c r="A92" s="151" t="s">
        <v>280</v>
      </c>
      <c r="B92" s="121" t="s">
        <v>60</v>
      </c>
      <c r="C92" s="141" t="s">
        <v>93</v>
      </c>
      <c r="D92" s="143" t="s">
        <v>92</v>
      </c>
      <c r="E92" s="358" t="s">
        <v>99</v>
      </c>
      <c r="F92" s="358"/>
      <c r="G92" s="139">
        <v>79.8</v>
      </c>
      <c r="H92" s="140" t="s">
        <v>79</v>
      </c>
    </row>
    <row r="93" spans="1:8" s="3" customFormat="1" ht="22.5">
      <c r="A93" s="151" t="s">
        <v>281</v>
      </c>
      <c r="B93" s="153" t="s">
        <v>60</v>
      </c>
      <c r="C93" s="154" t="s">
        <v>86</v>
      </c>
      <c r="D93" s="138" t="s">
        <v>85</v>
      </c>
      <c r="E93" s="348" t="s">
        <v>116</v>
      </c>
      <c r="F93" s="348"/>
      <c r="G93" s="139">
        <v>5.75</v>
      </c>
      <c r="H93" s="140" t="s">
        <v>12</v>
      </c>
    </row>
    <row r="94" spans="1:8" s="3" customFormat="1" ht="23.25" thickBot="1">
      <c r="A94" s="151" t="s">
        <v>282</v>
      </c>
      <c r="B94" s="155" t="s">
        <v>60</v>
      </c>
      <c r="C94" s="156" t="s">
        <v>90</v>
      </c>
      <c r="D94" s="157" t="s">
        <v>89</v>
      </c>
      <c r="E94" s="348" t="s">
        <v>116</v>
      </c>
      <c r="F94" s="348"/>
      <c r="G94" s="158">
        <f>76.88/5</f>
        <v>15.38</v>
      </c>
      <c r="H94" s="159" t="s">
        <v>8</v>
      </c>
    </row>
    <row r="95" spans="1:8" s="3" customFormat="1" ht="18.75" customHeight="1" thickBot="1">
      <c r="A95" s="131" t="s">
        <v>283</v>
      </c>
      <c r="B95" s="349" t="s">
        <v>91</v>
      </c>
      <c r="C95" s="350"/>
      <c r="D95" s="350"/>
      <c r="E95" s="350"/>
      <c r="F95" s="350"/>
      <c r="G95" s="350"/>
      <c r="H95" s="351"/>
    </row>
    <row r="96" spans="1:8" ht="13.5" customHeight="1">
      <c r="A96" s="146" t="s">
        <v>0</v>
      </c>
      <c r="B96" s="147" t="s">
        <v>22</v>
      </c>
      <c r="C96" s="148" t="s">
        <v>5</v>
      </c>
      <c r="D96" s="148" t="s">
        <v>1</v>
      </c>
      <c r="E96" s="352" t="s">
        <v>10</v>
      </c>
      <c r="F96" s="353"/>
      <c r="G96" s="149" t="s">
        <v>2</v>
      </c>
      <c r="H96" s="150" t="s">
        <v>3</v>
      </c>
    </row>
    <row r="97" spans="1:8" s="3" customFormat="1" ht="12.75">
      <c r="A97" s="151" t="s">
        <v>284</v>
      </c>
      <c r="B97" s="121" t="s">
        <v>60</v>
      </c>
      <c r="C97" s="141" t="s">
        <v>81</v>
      </c>
      <c r="D97" s="143" t="s">
        <v>80</v>
      </c>
      <c r="E97" s="354" t="s">
        <v>99</v>
      </c>
      <c r="F97" s="355"/>
      <c r="G97" s="139">
        <v>193</v>
      </c>
      <c r="H97" s="140" t="s">
        <v>79</v>
      </c>
    </row>
    <row r="98" spans="1:8" s="3" customFormat="1" ht="12.75">
      <c r="A98" s="151" t="s">
        <v>285</v>
      </c>
      <c r="B98" s="121" t="s">
        <v>60</v>
      </c>
      <c r="C98" s="141" t="s">
        <v>93</v>
      </c>
      <c r="D98" s="143" t="s">
        <v>92</v>
      </c>
      <c r="E98" s="354" t="s">
        <v>99</v>
      </c>
      <c r="F98" s="355"/>
      <c r="G98" s="139">
        <v>87.2</v>
      </c>
      <c r="H98" s="140" t="s">
        <v>79</v>
      </c>
    </row>
    <row r="99" spans="1:8" s="3" customFormat="1" ht="22.5" customHeight="1">
      <c r="A99" s="151" t="s">
        <v>286</v>
      </c>
      <c r="B99" s="153" t="s">
        <v>60</v>
      </c>
      <c r="C99" s="154" t="s">
        <v>86</v>
      </c>
      <c r="D99" s="138" t="s">
        <v>85</v>
      </c>
      <c r="E99" s="354" t="s">
        <v>99</v>
      </c>
      <c r="F99" s="355"/>
      <c r="G99" s="139">
        <v>3.98</v>
      </c>
      <c r="H99" s="140" t="s">
        <v>12</v>
      </c>
    </row>
    <row r="100" spans="1:8" s="3" customFormat="1" ht="23.25" thickBot="1">
      <c r="A100" s="151" t="s">
        <v>287</v>
      </c>
      <c r="B100" s="153" t="s">
        <v>60</v>
      </c>
      <c r="C100" s="154" t="s">
        <v>90</v>
      </c>
      <c r="D100" s="138" t="s">
        <v>89</v>
      </c>
      <c r="E100" s="354" t="s">
        <v>99</v>
      </c>
      <c r="F100" s="355"/>
      <c r="G100" s="139">
        <f>66.3/5</f>
        <v>13.26</v>
      </c>
      <c r="H100" s="140" t="s">
        <v>8</v>
      </c>
    </row>
    <row r="101" spans="1:8" s="3" customFormat="1" ht="18.75" customHeight="1" thickBot="1">
      <c r="A101" s="131" t="s">
        <v>288</v>
      </c>
      <c r="B101" s="349" t="s">
        <v>237</v>
      </c>
      <c r="C101" s="350"/>
      <c r="D101" s="350"/>
      <c r="E101" s="350"/>
      <c r="F101" s="350"/>
      <c r="G101" s="350"/>
      <c r="H101" s="351"/>
    </row>
    <row r="102" spans="1:8" ht="13.5" customHeight="1">
      <c r="A102" s="146" t="s">
        <v>0</v>
      </c>
      <c r="B102" s="147" t="s">
        <v>22</v>
      </c>
      <c r="C102" s="148" t="s">
        <v>5</v>
      </c>
      <c r="D102" s="148" t="s">
        <v>1</v>
      </c>
      <c r="E102" s="352" t="s">
        <v>10</v>
      </c>
      <c r="F102" s="353"/>
      <c r="G102" s="149" t="s">
        <v>2</v>
      </c>
      <c r="H102" s="150" t="s">
        <v>3</v>
      </c>
    </row>
    <row r="103" spans="1:8" s="3" customFormat="1" ht="12.75">
      <c r="A103" s="151" t="s">
        <v>289</v>
      </c>
      <c r="B103" s="121" t="s">
        <v>60</v>
      </c>
      <c r="C103" s="141" t="s">
        <v>81</v>
      </c>
      <c r="D103" s="143" t="s">
        <v>80</v>
      </c>
      <c r="E103" s="354" t="s">
        <v>99</v>
      </c>
      <c r="F103" s="355"/>
      <c r="G103" s="139">
        <v>255.2</v>
      </c>
      <c r="H103" s="140" t="s">
        <v>79</v>
      </c>
    </row>
    <row r="104" spans="1:8" s="3" customFormat="1" ht="12.75">
      <c r="A104" s="151" t="s">
        <v>290</v>
      </c>
      <c r="B104" s="121" t="s">
        <v>60</v>
      </c>
      <c r="C104" s="141" t="s">
        <v>93</v>
      </c>
      <c r="D104" s="143" t="s">
        <v>92</v>
      </c>
      <c r="E104" s="354" t="s">
        <v>99</v>
      </c>
      <c r="F104" s="355"/>
      <c r="G104" s="139">
        <v>77</v>
      </c>
      <c r="H104" s="140" t="s">
        <v>79</v>
      </c>
    </row>
    <row r="105" spans="1:8" s="3" customFormat="1" ht="22.5">
      <c r="A105" s="151" t="s">
        <v>291</v>
      </c>
      <c r="B105" s="153" t="s">
        <v>60</v>
      </c>
      <c r="C105" s="154" t="s">
        <v>86</v>
      </c>
      <c r="D105" s="138" t="s">
        <v>85</v>
      </c>
      <c r="E105" s="354" t="s">
        <v>99</v>
      </c>
      <c r="F105" s="355"/>
      <c r="G105" s="139">
        <v>5.18</v>
      </c>
      <c r="H105" s="140" t="s">
        <v>12</v>
      </c>
    </row>
    <row r="106" spans="1:8" s="3" customFormat="1" ht="23.25" thickBot="1">
      <c r="A106" s="151" t="s">
        <v>292</v>
      </c>
      <c r="B106" s="155" t="s">
        <v>60</v>
      </c>
      <c r="C106" s="156" t="s">
        <v>90</v>
      </c>
      <c r="D106" s="157" t="s">
        <v>89</v>
      </c>
      <c r="E106" s="354" t="s">
        <v>99</v>
      </c>
      <c r="F106" s="355"/>
      <c r="G106" s="158">
        <f>69.08/5</f>
        <v>13.82</v>
      </c>
      <c r="H106" s="159" t="s">
        <v>8</v>
      </c>
    </row>
    <row r="107" spans="1:8" s="3" customFormat="1" ht="18.75" customHeight="1" thickBot="1">
      <c r="A107" s="131" t="s">
        <v>293</v>
      </c>
      <c r="B107" s="349" t="s">
        <v>303</v>
      </c>
      <c r="C107" s="350"/>
      <c r="D107" s="350"/>
      <c r="E107" s="350"/>
      <c r="F107" s="350"/>
      <c r="G107" s="350"/>
      <c r="H107" s="351"/>
    </row>
    <row r="108" spans="1:8" ht="13.5" customHeight="1">
      <c r="A108" s="146" t="s">
        <v>0</v>
      </c>
      <c r="B108" s="147" t="s">
        <v>22</v>
      </c>
      <c r="C108" s="148" t="s">
        <v>5</v>
      </c>
      <c r="D108" s="148" t="s">
        <v>1</v>
      </c>
      <c r="E108" s="352" t="s">
        <v>10</v>
      </c>
      <c r="F108" s="353"/>
      <c r="G108" s="149" t="s">
        <v>2</v>
      </c>
      <c r="H108" s="150" t="s">
        <v>3</v>
      </c>
    </row>
    <row r="109" spans="1:8" s="3" customFormat="1" ht="12.75">
      <c r="A109" s="151" t="s">
        <v>294</v>
      </c>
      <c r="B109" s="121" t="s">
        <v>60</v>
      </c>
      <c r="C109" s="141" t="s">
        <v>81</v>
      </c>
      <c r="D109" s="143" t="s">
        <v>80</v>
      </c>
      <c r="E109" s="354" t="s">
        <v>99</v>
      </c>
      <c r="F109" s="355"/>
      <c r="G109" s="139">
        <v>16.4</v>
      </c>
      <c r="H109" s="140" t="s">
        <v>79</v>
      </c>
    </row>
    <row r="110" spans="1:8" s="3" customFormat="1" ht="12.75">
      <c r="A110" s="151" t="s">
        <v>306</v>
      </c>
      <c r="B110" s="121" t="s">
        <v>60</v>
      </c>
      <c r="C110" s="141" t="s">
        <v>93</v>
      </c>
      <c r="D110" s="143" t="s">
        <v>92</v>
      </c>
      <c r="E110" s="354" t="s">
        <v>99</v>
      </c>
      <c r="F110" s="355"/>
      <c r="G110" s="139">
        <v>57.8</v>
      </c>
      <c r="H110" s="140" t="s">
        <v>79</v>
      </c>
    </row>
    <row r="111" spans="1:8" s="3" customFormat="1" ht="22.5">
      <c r="A111" s="151" t="s">
        <v>307</v>
      </c>
      <c r="B111" s="153" t="s">
        <v>60</v>
      </c>
      <c r="C111" s="154" t="s">
        <v>86</v>
      </c>
      <c r="D111" s="138" t="s">
        <v>85</v>
      </c>
      <c r="E111" s="354" t="s">
        <v>99</v>
      </c>
      <c r="F111" s="355"/>
      <c r="G111" s="139">
        <v>1.07</v>
      </c>
      <c r="H111" s="140" t="s">
        <v>12</v>
      </c>
    </row>
    <row r="112" spans="1:8" s="3" customFormat="1" ht="23.25" thickBot="1">
      <c r="A112" s="151" t="s">
        <v>308</v>
      </c>
      <c r="B112" s="155" t="s">
        <v>60</v>
      </c>
      <c r="C112" s="156" t="s">
        <v>90</v>
      </c>
      <c r="D112" s="157" t="s">
        <v>89</v>
      </c>
      <c r="E112" s="354" t="s">
        <v>99</v>
      </c>
      <c r="F112" s="355"/>
      <c r="G112" s="158">
        <f>15.77/5</f>
        <v>3.15</v>
      </c>
      <c r="H112" s="159" t="s">
        <v>8</v>
      </c>
    </row>
    <row r="113" spans="1:8" s="3" customFormat="1" ht="18.75" customHeight="1" thickBot="1">
      <c r="A113" s="131" t="s">
        <v>295</v>
      </c>
      <c r="B113" s="349" t="s">
        <v>258</v>
      </c>
      <c r="C113" s="350"/>
      <c r="D113" s="350"/>
      <c r="E113" s="350"/>
      <c r="F113" s="350"/>
      <c r="G113" s="350"/>
      <c r="H113" s="351"/>
    </row>
    <row r="114" spans="1:8" ht="13.5" customHeight="1">
      <c r="A114" s="146" t="s">
        <v>0</v>
      </c>
      <c r="B114" s="147" t="s">
        <v>22</v>
      </c>
      <c r="C114" s="148" t="s">
        <v>5</v>
      </c>
      <c r="D114" s="148" t="s">
        <v>1</v>
      </c>
      <c r="E114" s="352" t="s">
        <v>10</v>
      </c>
      <c r="F114" s="353"/>
      <c r="G114" s="149" t="s">
        <v>2</v>
      </c>
      <c r="H114" s="150" t="s">
        <v>3</v>
      </c>
    </row>
    <row r="115" spans="1:8" s="3" customFormat="1" ht="23.25" thickBot="1">
      <c r="A115" s="151" t="s">
        <v>296</v>
      </c>
      <c r="B115" s="121" t="s">
        <v>21</v>
      </c>
      <c r="C115" s="141">
        <v>102073</v>
      </c>
      <c r="D115" s="143" t="s">
        <v>266</v>
      </c>
      <c r="E115" s="354"/>
      <c r="F115" s="355"/>
      <c r="G115" s="139">
        <f>0.78*1.1</f>
        <v>0.86</v>
      </c>
      <c r="H115" s="140" t="s">
        <v>12</v>
      </c>
    </row>
    <row r="116" spans="1:8" s="3" customFormat="1" ht="18.75" customHeight="1" thickBot="1">
      <c r="A116" s="131" t="s">
        <v>297</v>
      </c>
      <c r="B116" s="349" t="s">
        <v>94</v>
      </c>
      <c r="C116" s="350"/>
      <c r="D116" s="350"/>
      <c r="E116" s="350"/>
      <c r="F116" s="350"/>
      <c r="G116" s="350"/>
      <c r="H116" s="351"/>
    </row>
    <row r="117" spans="1:8" ht="13.5" customHeight="1">
      <c r="A117" s="146" t="s">
        <v>0</v>
      </c>
      <c r="B117" s="147" t="s">
        <v>22</v>
      </c>
      <c r="C117" s="148" t="s">
        <v>5</v>
      </c>
      <c r="D117" s="148" t="s">
        <v>1</v>
      </c>
      <c r="E117" s="352" t="s">
        <v>10</v>
      </c>
      <c r="F117" s="353"/>
      <c r="G117" s="149" t="s">
        <v>2</v>
      </c>
      <c r="H117" s="150" t="s">
        <v>3</v>
      </c>
    </row>
    <row r="118" spans="1:8" s="3" customFormat="1" ht="23.25" thickBot="1">
      <c r="A118" s="151" t="s">
        <v>298</v>
      </c>
      <c r="B118" s="121" t="s">
        <v>60</v>
      </c>
      <c r="C118" s="141" t="s">
        <v>128</v>
      </c>
      <c r="D118" s="143" t="s">
        <v>127</v>
      </c>
      <c r="E118" s="356"/>
      <c r="F118" s="357"/>
      <c r="G118" s="139">
        <f>'PLANILHA DE CALCÚLO (usina)'!B31*1.1</f>
        <v>138.29</v>
      </c>
      <c r="H118" s="140" t="s">
        <v>8</v>
      </c>
    </row>
    <row r="119" spans="1:8" s="3" customFormat="1" ht="18.75" customHeight="1" thickBot="1">
      <c r="A119" s="131" t="s">
        <v>299</v>
      </c>
      <c r="B119" s="349" t="s">
        <v>257</v>
      </c>
      <c r="C119" s="350"/>
      <c r="D119" s="350"/>
      <c r="E119" s="350"/>
      <c r="F119" s="350"/>
      <c r="G119" s="350"/>
      <c r="H119" s="351"/>
    </row>
    <row r="120" spans="1:8" ht="13.5" customHeight="1">
      <c r="A120" s="146" t="s">
        <v>0</v>
      </c>
      <c r="B120" s="147" t="s">
        <v>22</v>
      </c>
      <c r="C120" s="148" t="s">
        <v>5</v>
      </c>
      <c r="D120" s="148" t="s">
        <v>1</v>
      </c>
      <c r="E120" s="352" t="s">
        <v>10</v>
      </c>
      <c r="F120" s="353"/>
      <c r="G120" s="149" t="s">
        <v>2</v>
      </c>
      <c r="H120" s="150" t="s">
        <v>3</v>
      </c>
    </row>
    <row r="121" spans="1:8" s="3" customFormat="1" ht="13.5" thickBot="1">
      <c r="A121" s="151" t="s">
        <v>300</v>
      </c>
      <c r="B121" s="121" t="s">
        <v>21</v>
      </c>
      <c r="C121" s="141">
        <v>99855</v>
      </c>
      <c r="D121" s="143" t="s">
        <v>265</v>
      </c>
      <c r="E121" s="348"/>
      <c r="F121" s="348"/>
      <c r="G121" s="139">
        <f>3.02+1.8+3.78</f>
        <v>8.6</v>
      </c>
      <c r="H121" s="140" t="s">
        <v>11</v>
      </c>
    </row>
    <row r="122" spans="1:8" s="3" customFormat="1" ht="18.75" customHeight="1" thickBot="1">
      <c r="A122" s="131" t="s">
        <v>301</v>
      </c>
      <c r="B122" s="349" t="s">
        <v>260</v>
      </c>
      <c r="C122" s="350"/>
      <c r="D122" s="350"/>
      <c r="E122" s="350"/>
      <c r="F122" s="350"/>
      <c r="G122" s="350"/>
      <c r="H122" s="351"/>
    </row>
    <row r="123" spans="1:8" ht="13.5" customHeight="1">
      <c r="A123" s="146" t="s">
        <v>0</v>
      </c>
      <c r="B123" s="147" t="s">
        <v>22</v>
      </c>
      <c r="C123" s="148" t="s">
        <v>5</v>
      </c>
      <c r="D123" s="148" t="s">
        <v>1</v>
      </c>
      <c r="E123" s="352" t="s">
        <v>10</v>
      </c>
      <c r="F123" s="353"/>
      <c r="G123" s="149" t="s">
        <v>2</v>
      </c>
      <c r="H123" s="150" t="s">
        <v>3</v>
      </c>
    </row>
    <row r="124" spans="1:8" s="3" customFormat="1" ht="12.75">
      <c r="A124" s="151" t="s">
        <v>302</v>
      </c>
      <c r="B124" s="121" t="s">
        <v>60</v>
      </c>
      <c r="C124" s="141" t="s">
        <v>259</v>
      </c>
      <c r="D124" s="143" t="s">
        <v>261</v>
      </c>
      <c r="E124" s="348" t="s">
        <v>359</v>
      </c>
      <c r="F124" s="348"/>
      <c r="G124" s="139">
        <v>194.99</v>
      </c>
      <c r="H124" s="140" t="s">
        <v>8</v>
      </c>
    </row>
    <row r="125" spans="1:8" s="3" customFormat="1" ht="22.5">
      <c r="A125" s="151" t="s">
        <v>309</v>
      </c>
      <c r="B125" s="121" t="s">
        <v>21</v>
      </c>
      <c r="C125" s="141">
        <v>94995</v>
      </c>
      <c r="D125" s="143" t="s">
        <v>262</v>
      </c>
      <c r="E125" s="348"/>
      <c r="F125" s="348"/>
      <c r="G125" s="139">
        <f>G124*0.08</f>
        <v>15.6</v>
      </c>
      <c r="H125" s="140" t="s">
        <v>8</v>
      </c>
    </row>
    <row r="126" spans="1:8" s="3" customFormat="1" ht="22.5">
      <c r="A126" s="151" t="s">
        <v>310</v>
      </c>
      <c r="B126" s="121" t="s">
        <v>21</v>
      </c>
      <c r="C126" s="141">
        <v>96385</v>
      </c>
      <c r="D126" s="143" t="s">
        <v>267</v>
      </c>
      <c r="E126" s="348"/>
      <c r="F126" s="348"/>
      <c r="G126" s="139">
        <f>(20*6.8)+(27*4.6)</f>
        <v>260.2</v>
      </c>
      <c r="H126" s="140" t="s">
        <v>12</v>
      </c>
    </row>
    <row r="127" spans="1:8" s="3" customFormat="1" ht="13.5" thickBot="1">
      <c r="A127" s="151" t="s">
        <v>351</v>
      </c>
      <c r="B127" s="121" t="s">
        <v>60</v>
      </c>
      <c r="C127" s="122" t="s">
        <v>70</v>
      </c>
      <c r="D127" s="123" t="s">
        <v>71</v>
      </c>
      <c r="E127" s="348" t="s">
        <v>358</v>
      </c>
      <c r="F127" s="348"/>
      <c r="G127" s="152">
        <f>7*6*0.08</f>
        <v>3.36</v>
      </c>
      <c r="H127" s="125" t="s">
        <v>12</v>
      </c>
    </row>
    <row r="128" spans="1:8" s="3" customFormat="1" ht="18.75" customHeight="1" thickBot="1">
      <c r="A128" s="131" t="s">
        <v>311</v>
      </c>
      <c r="B128" s="349" t="s">
        <v>193</v>
      </c>
      <c r="C128" s="350"/>
      <c r="D128" s="350"/>
      <c r="E128" s="350"/>
      <c r="F128" s="350"/>
      <c r="G128" s="350"/>
      <c r="H128" s="351"/>
    </row>
    <row r="129" spans="1:8" ht="13.5" customHeight="1">
      <c r="A129" s="146" t="s">
        <v>0</v>
      </c>
      <c r="B129" s="147" t="s">
        <v>22</v>
      </c>
      <c r="C129" s="148" t="s">
        <v>5</v>
      </c>
      <c r="D129" s="148" t="s">
        <v>1</v>
      </c>
      <c r="E129" s="352" t="s">
        <v>10</v>
      </c>
      <c r="F129" s="353"/>
      <c r="G129" s="149" t="s">
        <v>2</v>
      </c>
      <c r="H129" s="150" t="s">
        <v>3</v>
      </c>
    </row>
    <row r="130" spans="1:8" s="3" customFormat="1" ht="23.25" thickBot="1">
      <c r="A130" s="151" t="s">
        <v>312</v>
      </c>
      <c r="B130" s="121" t="s">
        <v>60</v>
      </c>
      <c r="C130" s="141" t="s">
        <v>264</v>
      </c>
      <c r="D130" s="143" t="s">
        <v>263</v>
      </c>
      <c r="E130" s="348"/>
      <c r="F130" s="348"/>
      <c r="G130" s="139">
        <v>6.91</v>
      </c>
      <c r="H130" s="140" t="s">
        <v>8</v>
      </c>
    </row>
    <row r="131" spans="1:8" s="3" customFormat="1" ht="18.75" customHeight="1" thickBot="1">
      <c r="A131" s="131" t="s">
        <v>313</v>
      </c>
      <c r="B131" s="349" t="s">
        <v>96</v>
      </c>
      <c r="C131" s="350"/>
      <c r="D131" s="350"/>
      <c r="E131" s="350"/>
      <c r="F131" s="350"/>
      <c r="G131" s="350"/>
      <c r="H131" s="351"/>
    </row>
    <row r="132" spans="1:8" ht="13.5" customHeight="1">
      <c r="A132" s="146" t="s">
        <v>0</v>
      </c>
      <c r="B132" s="147" t="s">
        <v>22</v>
      </c>
      <c r="C132" s="148" t="s">
        <v>5</v>
      </c>
      <c r="D132" s="148" t="s">
        <v>1</v>
      </c>
      <c r="E132" s="352" t="s">
        <v>10</v>
      </c>
      <c r="F132" s="353"/>
      <c r="G132" s="149" t="s">
        <v>2</v>
      </c>
      <c r="H132" s="150" t="s">
        <v>3</v>
      </c>
    </row>
    <row r="133" spans="1:8" s="3" customFormat="1" ht="23.25" thickBot="1">
      <c r="A133" s="151" t="s">
        <v>314</v>
      </c>
      <c r="B133" s="121" t="s">
        <v>60</v>
      </c>
      <c r="C133" s="141" t="s">
        <v>304</v>
      </c>
      <c r="D133" s="143" t="s">
        <v>356</v>
      </c>
      <c r="E133" s="348" t="s">
        <v>355</v>
      </c>
      <c r="F133" s="348"/>
      <c r="G133" s="139">
        <v>12.48</v>
      </c>
      <c r="H133" s="140" t="s">
        <v>8</v>
      </c>
    </row>
    <row r="134" spans="1:8" s="3" customFormat="1" ht="18.75" customHeight="1" thickBot="1">
      <c r="A134" s="131" t="s">
        <v>353</v>
      </c>
      <c r="B134" s="349" t="s">
        <v>357</v>
      </c>
      <c r="C134" s="350"/>
      <c r="D134" s="350"/>
      <c r="E134" s="350"/>
      <c r="F134" s="350"/>
      <c r="G134" s="350"/>
      <c r="H134" s="351"/>
    </row>
    <row r="135" spans="1:8" ht="13.5" customHeight="1">
      <c r="A135" s="146" t="s">
        <v>0</v>
      </c>
      <c r="B135" s="147" t="s">
        <v>22</v>
      </c>
      <c r="C135" s="148" t="s">
        <v>5</v>
      </c>
      <c r="D135" s="148" t="s">
        <v>1</v>
      </c>
      <c r="E135" s="352" t="s">
        <v>10</v>
      </c>
      <c r="F135" s="353"/>
      <c r="G135" s="149" t="s">
        <v>2</v>
      </c>
      <c r="H135" s="150" t="s">
        <v>3</v>
      </c>
    </row>
    <row r="136" spans="1:8" s="3" customFormat="1" ht="13.5" thickBot="1">
      <c r="A136" s="151" t="s">
        <v>360</v>
      </c>
      <c r="B136" s="121" t="s">
        <v>21</v>
      </c>
      <c r="C136" s="141">
        <v>98557</v>
      </c>
      <c r="D136" s="143" t="s">
        <v>352</v>
      </c>
      <c r="E136" s="348" t="s">
        <v>354</v>
      </c>
      <c r="F136" s="348"/>
      <c r="G136" s="139">
        <f>(6.8*1.9*2)+(9.6*1.9*2)+(66.4)</f>
        <v>128.72</v>
      </c>
      <c r="H136" s="140" t="s">
        <v>8</v>
      </c>
    </row>
    <row r="137" spans="1:8" s="3" customFormat="1" ht="18.75" customHeight="1" thickBot="1">
      <c r="A137" s="131" t="s">
        <v>375</v>
      </c>
      <c r="B137" s="349" t="s">
        <v>400</v>
      </c>
      <c r="C137" s="350"/>
      <c r="D137" s="350"/>
      <c r="E137" s="350"/>
      <c r="F137" s="350"/>
      <c r="G137" s="350"/>
      <c r="H137" s="351"/>
    </row>
    <row r="138" spans="1:8" ht="13.5" customHeight="1">
      <c r="A138" s="146" t="s">
        <v>0</v>
      </c>
      <c r="B138" s="147" t="s">
        <v>22</v>
      </c>
      <c r="C138" s="148" t="s">
        <v>5</v>
      </c>
      <c r="D138" s="148" t="s">
        <v>1</v>
      </c>
      <c r="E138" s="352" t="s">
        <v>10</v>
      </c>
      <c r="F138" s="353"/>
      <c r="G138" s="149" t="s">
        <v>2</v>
      </c>
      <c r="H138" s="150" t="s">
        <v>3</v>
      </c>
    </row>
    <row r="139" spans="1:8" s="3" customFormat="1" ht="33.75">
      <c r="A139" s="151" t="s">
        <v>402</v>
      </c>
      <c r="B139" s="121" t="s">
        <v>21</v>
      </c>
      <c r="C139" s="141">
        <v>91467</v>
      </c>
      <c r="D139" s="143" t="s">
        <v>412</v>
      </c>
      <c r="E139" s="348"/>
      <c r="F139" s="348"/>
      <c r="G139" s="139">
        <v>8</v>
      </c>
      <c r="H139" s="140" t="s">
        <v>401</v>
      </c>
    </row>
    <row r="140" spans="1:8" s="3" customFormat="1" ht="12.75">
      <c r="A140" s="151" t="s">
        <v>418</v>
      </c>
      <c r="B140" s="121" t="s">
        <v>21</v>
      </c>
      <c r="C140" s="160" t="s">
        <v>413</v>
      </c>
      <c r="D140" s="143" t="s">
        <v>414</v>
      </c>
      <c r="E140" s="348"/>
      <c r="F140" s="348"/>
      <c r="G140" s="139">
        <v>8</v>
      </c>
      <c r="H140" s="140" t="s">
        <v>401</v>
      </c>
    </row>
    <row r="141" spans="1:8" s="3" customFormat="1" ht="12.75">
      <c r="A141" s="151" t="s">
        <v>377</v>
      </c>
      <c r="B141" s="121" t="s">
        <v>21</v>
      </c>
      <c r="C141" s="141">
        <v>88297</v>
      </c>
      <c r="D141" s="143" t="s">
        <v>415</v>
      </c>
      <c r="E141" s="348"/>
      <c r="F141" s="348"/>
      <c r="G141" s="139">
        <v>8</v>
      </c>
      <c r="H141" s="140" t="s">
        <v>401</v>
      </c>
    </row>
    <row r="142" spans="1:8" s="3" customFormat="1" ht="13.5" customHeight="1">
      <c r="A142" s="151" t="s">
        <v>419</v>
      </c>
      <c r="B142" s="121" t="s">
        <v>21</v>
      </c>
      <c r="C142" s="141">
        <v>88277</v>
      </c>
      <c r="D142" s="143" t="s">
        <v>416</v>
      </c>
      <c r="E142" s="348"/>
      <c r="F142" s="348"/>
      <c r="G142" s="139">
        <v>8</v>
      </c>
      <c r="H142" s="140" t="s">
        <v>401</v>
      </c>
    </row>
    <row r="143" spans="1:8" s="3" customFormat="1" ht="13.5" customHeight="1" thickBot="1">
      <c r="A143" s="151" t="s">
        <v>420</v>
      </c>
      <c r="B143" s="121" t="s">
        <v>21</v>
      </c>
      <c r="C143" s="141">
        <v>88243</v>
      </c>
      <c r="D143" s="143" t="s">
        <v>417</v>
      </c>
      <c r="E143" s="348"/>
      <c r="F143" s="348"/>
      <c r="G143" s="139">
        <v>8</v>
      </c>
      <c r="H143" s="140" t="s">
        <v>401</v>
      </c>
    </row>
    <row r="144" spans="1:8" s="3" customFormat="1" ht="18.75" customHeight="1" thickBot="1">
      <c r="A144" s="131" t="s">
        <v>392</v>
      </c>
      <c r="B144" s="349" t="s">
        <v>403</v>
      </c>
      <c r="C144" s="350"/>
      <c r="D144" s="350"/>
      <c r="E144" s="350"/>
      <c r="F144" s="350"/>
      <c r="G144" s="350"/>
      <c r="H144" s="351"/>
    </row>
    <row r="145" spans="1:8" ht="13.5" customHeight="1">
      <c r="A145" s="146" t="s">
        <v>0</v>
      </c>
      <c r="B145" s="147" t="s">
        <v>22</v>
      </c>
      <c r="C145" s="148" t="s">
        <v>5</v>
      </c>
      <c r="D145" s="148" t="s">
        <v>1</v>
      </c>
      <c r="E145" s="352" t="s">
        <v>10</v>
      </c>
      <c r="F145" s="353"/>
      <c r="G145" s="149" t="s">
        <v>2</v>
      </c>
      <c r="H145" s="150" t="s">
        <v>3</v>
      </c>
    </row>
    <row r="146" spans="1:8" s="3" customFormat="1" ht="12.75">
      <c r="A146" s="151" t="s">
        <v>393</v>
      </c>
      <c r="B146" s="121" t="s">
        <v>60</v>
      </c>
      <c r="C146" s="141" t="s">
        <v>81</v>
      </c>
      <c r="D146" s="143" t="s">
        <v>80</v>
      </c>
      <c r="E146" s="354" t="s">
        <v>404</v>
      </c>
      <c r="F146" s="355"/>
      <c r="G146" s="139">
        <f>19*8</f>
        <v>152</v>
      </c>
      <c r="H146" s="140" t="s">
        <v>79</v>
      </c>
    </row>
    <row r="147" spans="1:8" s="3" customFormat="1" ht="22.5">
      <c r="A147" s="151" t="s">
        <v>394</v>
      </c>
      <c r="B147" s="153" t="s">
        <v>60</v>
      </c>
      <c r="C147" s="154" t="s">
        <v>86</v>
      </c>
      <c r="D147" s="138" t="s">
        <v>85</v>
      </c>
      <c r="E147" s="354" t="s">
        <v>404</v>
      </c>
      <c r="F147" s="355"/>
      <c r="G147" s="139">
        <f>0.28*8</f>
        <v>2.24</v>
      </c>
      <c r="H147" s="140" t="s">
        <v>12</v>
      </c>
    </row>
    <row r="148" spans="1:8" s="3" customFormat="1" ht="22.5">
      <c r="A148" s="151" t="s">
        <v>395</v>
      </c>
      <c r="B148" s="153" t="s">
        <v>60</v>
      </c>
      <c r="C148" s="156" t="s">
        <v>90</v>
      </c>
      <c r="D148" s="157" t="s">
        <v>89</v>
      </c>
      <c r="E148" s="354" t="s">
        <v>404</v>
      </c>
      <c r="F148" s="355"/>
      <c r="G148" s="158">
        <f>(3.49/5)*8</f>
        <v>5.58</v>
      </c>
      <c r="H148" s="159" t="s">
        <v>8</v>
      </c>
    </row>
    <row r="149" spans="1:8" s="3" customFormat="1" ht="20.25" customHeight="1">
      <c r="A149" s="151" t="s">
        <v>396</v>
      </c>
      <c r="B149" s="121" t="s">
        <v>21</v>
      </c>
      <c r="C149" s="156" t="s">
        <v>405</v>
      </c>
      <c r="D149" s="157" t="s">
        <v>406</v>
      </c>
      <c r="E149" s="354" t="s">
        <v>407</v>
      </c>
      <c r="F149" s="355"/>
      <c r="G149" s="158">
        <f>16*2.5</f>
        <v>40</v>
      </c>
      <c r="H149" s="159" t="s">
        <v>11</v>
      </c>
    </row>
    <row r="150" spans="1:8" s="3" customFormat="1" ht="12.75">
      <c r="A150" s="151" t="s">
        <v>397</v>
      </c>
      <c r="B150" s="121" t="s">
        <v>60</v>
      </c>
      <c r="C150" s="141" t="s">
        <v>81</v>
      </c>
      <c r="D150" s="143" t="s">
        <v>80</v>
      </c>
      <c r="E150" s="354" t="s">
        <v>407</v>
      </c>
      <c r="F150" s="355"/>
      <c r="G150" s="139">
        <f>'PLANILHA DE CALCÚLO (usina)'!G36</f>
        <v>123.4</v>
      </c>
      <c r="H150" s="140" t="s">
        <v>79</v>
      </c>
    </row>
    <row r="151" spans="1:8" s="3" customFormat="1" ht="12.75">
      <c r="A151" s="151" t="s">
        <v>398</v>
      </c>
      <c r="B151" s="121" t="s">
        <v>60</v>
      </c>
      <c r="C151" s="141" t="s">
        <v>93</v>
      </c>
      <c r="D151" s="143" t="s">
        <v>92</v>
      </c>
      <c r="E151" s="354" t="s">
        <v>407</v>
      </c>
      <c r="F151" s="355"/>
      <c r="G151" s="139">
        <f>'PLANILHA DE CALCÚLO (usina)'!L36</f>
        <v>55.44</v>
      </c>
      <c r="H151" s="140" t="s">
        <v>79</v>
      </c>
    </row>
    <row r="152" spans="1:8" s="3" customFormat="1" ht="23.25" thickBot="1">
      <c r="A152" s="151" t="s">
        <v>399</v>
      </c>
      <c r="B152" s="121" t="s">
        <v>215</v>
      </c>
      <c r="C152" s="141">
        <v>39746</v>
      </c>
      <c r="D152" s="143" t="s">
        <v>411</v>
      </c>
      <c r="E152" s="354"/>
      <c r="F152" s="355"/>
      <c r="G152" s="139">
        <v>16</v>
      </c>
      <c r="H152" s="140" t="s">
        <v>62</v>
      </c>
    </row>
    <row r="153" spans="1:8" s="3" customFormat="1" ht="18.75" customHeight="1" thickBot="1">
      <c r="A153" s="131" t="s">
        <v>440</v>
      </c>
      <c r="B153" s="349" t="s">
        <v>376</v>
      </c>
      <c r="C153" s="350"/>
      <c r="D153" s="350"/>
      <c r="E153" s="350"/>
      <c r="F153" s="350"/>
      <c r="G153" s="350"/>
      <c r="H153" s="351"/>
    </row>
    <row r="154" spans="1:8" ht="13.5" customHeight="1">
      <c r="A154" s="146" t="s">
        <v>0</v>
      </c>
      <c r="B154" s="147" t="s">
        <v>22</v>
      </c>
      <c r="C154" s="148" t="s">
        <v>5</v>
      </c>
      <c r="D154" s="148" t="s">
        <v>1</v>
      </c>
      <c r="E154" s="352" t="s">
        <v>10</v>
      </c>
      <c r="F154" s="353"/>
      <c r="G154" s="149" t="s">
        <v>2</v>
      </c>
      <c r="H154" s="150" t="s">
        <v>3</v>
      </c>
    </row>
    <row r="155" spans="1:8" s="3" customFormat="1" ht="13.5" thickBot="1">
      <c r="A155" s="120" t="s">
        <v>441</v>
      </c>
      <c r="B155" s="141" t="s">
        <v>21</v>
      </c>
      <c r="C155" s="137">
        <v>100701</v>
      </c>
      <c r="D155" s="138" t="s">
        <v>172</v>
      </c>
      <c r="E155" s="348"/>
      <c r="F155" s="348"/>
      <c r="G155" s="139">
        <f>0.8*2.1</f>
        <v>1.68</v>
      </c>
      <c r="H155" s="140" t="s">
        <v>8</v>
      </c>
    </row>
    <row r="156" spans="1:8" s="3" customFormat="1" ht="18.75" customHeight="1" thickBot="1">
      <c r="A156" s="131" t="s">
        <v>443</v>
      </c>
      <c r="B156" s="349" t="s">
        <v>386</v>
      </c>
      <c r="C156" s="350"/>
      <c r="D156" s="350"/>
      <c r="E156" s="350"/>
      <c r="F156" s="350"/>
      <c r="G156" s="350"/>
      <c r="H156" s="351"/>
    </row>
    <row r="157" spans="1:8" ht="13.5" customHeight="1">
      <c r="A157" s="146" t="s">
        <v>0</v>
      </c>
      <c r="B157" s="147" t="s">
        <v>22</v>
      </c>
      <c r="C157" s="148" t="s">
        <v>5</v>
      </c>
      <c r="D157" s="148" t="s">
        <v>1</v>
      </c>
      <c r="E157" s="352" t="s">
        <v>10</v>
      </c>
      <c r="F157" s="353"/>
      <c r="G157" s="149" t="s">
        <v>2</v>
      </c>
      <c r="H157" s="150" t="s">
        <v>3</v>
      </c>
    </row>
    <row r="158" spans="1:8" s="3" customFormat="1" ht="12.75">
      <c r="A158" s="120" t="s">
        <v>444</v>
      </c>
      <c r="B158" s="121" t="s">
        <v>215</v>
      </c>
      <c r="C158" s="122">
        <v>37105</v>
      </c>
      <c r="D158" s="123" t="s">
        <v>373</v>
      </c>
      <c r="E158" s="348"/>
      <c r="F158" s="348"/>
      <c r="G158" s="124">
        <v>1</v>
      </c>
      <c r="H158" s="140" t="s">
        <v>62</v>
      </c>
    </row>
    <row r="159" spans="1:8" s="3" customFormat="1" ht="22.5">
      <c r="A159" s="120" t="s">
        <v>445</v>
      </c>
      <c r="B159" s="121" t="s">
        <v>215</v>
      </c>
      <c r="C159" s="122">
        <v>40329</v>
      </c>
      <c r="D159" s="123" t="s">
        <v>372</v>
      </c>
      <c r="E159" s="348"/>
      <c r="F159" s="348"/>
      <c r="G159" s="124">
        <v>1</v>
      </c>
      <c r="H159" s="140" t="s">
        <v>62</v>
      </c>
    </row>
    <row r="160" spans="1:8" s="3" customFormat="1" ht="33.75">
      <c r="A160" s="120" t="s">
        <v>446</v>
      </c>
      <c r="B160" s="121" t="s">
        <v>21</v>
      </c>
      <c r="C160" s="137">
        <v>94489</v>
      </c>
      <c r="D160" s="138" t="s">
        <v>387</v>
      </c>
      <c r="E160" s="348"/>
      <c r="F160" s="348"/>
      <c r="G160" s="139">
        <v>1</v>
      </c>
      <c r="H160" s="140" t="s">
        <v>62</v>
      </c>
    </row>
    <row r="161" spans="1:8" s="3" customFormat="1" ht="22.5">
      <c r="A161" s="120" t="s">
        <v>447</v>
      </c>
      <c r="B161" s="121" t="s">
        <v>21</v>
      </c>
      <c r="C161" s="137">
        <v>89440</v>
      </c>
      <c r="D161" s="138" t="s">
        <v>388</v>
      </c>
      <c r="E161" s="348"/>
      <c r="F161" s="348"/>
      <c r="G161" s="139">
        <v>1</v>
      </c>
      <c r="H161" s="140" t="s">
        <v>62</v>
      </c>
    </row>
    <row r="162" spans="1:8" s="3" customFormat="1" ht="22.5">
      <c r="A162" s="120" t="s">
        <v>448</v>
      </c>
      <c r="B162" s="121" t="s">
        <v>21</v>
      </c>
      <c r="C162" s="137">
        <v>89481</v>
      </c>
      <c r="D162" s="138" t="s">
        <v>389</v>
      </c>
      <c r="E162" s="348"/>
      <c r="F162" s="348"/>
      <c r="G162" s="139">
        <v>1</v>
      </c>
      <c r="H162" s="140" t="s">
        <v>62</v>
      </c>
    </row>
    <row r="163" spans="1:8" s="3" customFormat="1" ht="33.75">
      <c r="A163" s="120" t="s">
        <v>449</v>
      </c>
      <c r="B163" s="121" t="s">
        <v>21</v>
      </c>
      <c r="C163" s="122">
        <v>94703</v>
      </c>
      <c r="D163" s="123" t="s">
        <v>371</v>
      </c>
      <c r="E163" s="348"/>
      <c r="F163" s="348"/>
      <c r="G163" s="124">
        <v>1</v>
      </c>
      <c r="H163" s="140" t="s">
        <v>62</v>
      </c>
    </row>
    <row r="164" spans="1:8" s="3" customFormat="1" ht="33.75">
      <c r="A164" s="120" t="s">
        <v>450</v>
      </c>
      <c r="B164" s="121" t="s">
        <v>21</v>
      </c>
      <c r="C164" s="137">
        <v>94708</v>
      </c>
      <c r="D164" s="138" t="s">
        <v>390</v>
      </c>
      <c r="E164" s="348"/>
      <c r="F164" s="348"/>
      <c r="G164" s="139">
        <v>2</v>
      </c>
      <c r="H164" s="140" t="s">
        <v>62</v>
      </c>
    </row>
    <row r="165" spans="1:8" s="3" customFormat="1" ht="34.5" thickBot="1">
      <c r="A165" s="120" t="s">
        <v>451</v>
      </c>
      <c r="B165" s="121" t="s">
        <v>21</v>
      </c>
      <c r="C165" s="137">
        <v>95141</v>
      </c>
      <c r="D165" s="138" t="s">
        <v>391</v>
      </c>
      <c r="E165" s="348"/>
      <c r="F165" s="348"/>
      <c r="G165" s="139">
        <v>1</v>
      </c>
      <c r="H165" s="140" t="s">
        <v>62</v>
      </c>
    </row>
    <row r="166" spans="1:8" s="3" customFormat="1" ht="18.75" customHeight="1" thickBot="1">
      <c r="A166" s="131" t="s">
        <v>452</v>
      </c>
      <c r="B166" s="349" t="s">
        <v>212</v>
      </c>
      <c r="C166" s="350"/>
      <c r="D166" s="350"/>
      <c r="E166" s="350"/>
      <c r="F166" s="350"/>
      <c r="G166" s="350"/>
      <c r="H166" s="351"/>
    </row>
    <row r="167" spans="1:8" ht="13.5" customHeight="1">
      <c r="A167" s="146" t="s">
        <v>0</v>
      </c>
      <c r="B167" s="147" t="s">
        <v>22</v>
      </c>
      <c r="C167" s="148" t="s">
        <v>5</v>
      </c>
      <c r="D167" s="148" t="s">
        <v>1</v>
      </c>
      <c r="E167" s="352" t="s">
        <v>10</v>
      </c>
      <c r="F167" s="353"/>
      <c r="G167" s="149" t="s">
        <v>2</v>
      </c>
      <c r="H167" s="150" t="s">
        <v>3</v>
      </c>
    </row>
    <row r="168" spans="1:8" s="3" customFormat="1" ht="22.5">
      <c r="A168" s="120" t="s">
        <v>453</v>
      </c>
      <c r="B168" s="121" t="s">
        <v>21</v>
      </c>
      <c r="C168" s="137">
        <v>92986</v>
      </c>
      <c r="D168" s="138" t="s">
        <v>421</v>
      </c>
      <c r="E168" s="348"/>
      <c r="F168" s="348"/>
      <c r="G168" s="139">
        <v>250</v>
      </c>
      <c r="H168" s="140" t="s">
        <v>11</v>
      </c>
    </row>
    <row r="169" spans="1:8" s="3" customFormat="1" ht="22.5">
      <c r="A169" s="120" t="s">
        <v>454</v>
      </c>
      <c r="B169" s="121" t="s">
        <v>21</v>
      </c>
      <c r="C169" s="137">
        <v>91927</v>
      </c>
      <c r="D169" s="138" t="s">
        <v>366</v>
      </c>
      <c r="E169" s="348"/>
      <c r="F169" s="348"/>
      <c r="G169" s="139">
        <v>60</v>
      </c>
      <c r="H169" s="140" t="s">
        <v>11</v>
      </c>
    </row>
    <row r="170" spans="1:8" s="3" customFormat="1" ht="22.5">
      <c r="A170" s="120" t="s">
        <v>455</v>
      </c>
      <c r="B170" s="121" t="s">
        <v>21</v>
      </c>
      <c r="C170" s="137">
        <v>91928</v>
      </c>
      <c r="D170" s="138" t="s">
        <v>422</v>
      </c>
      <c r="E170" s="348"/>
      <c r="F170" s="348"/>
      <c r="G170" s="139">
        <v>50</v>
      </c>
      <c r="H170" s="140" t="s">
        <v>11</v>
      </c>
    </row>
    <row r="171" spans="1:8" s="3" customFormat="1" ht="22.5">
      <c r="A171" s="120" t="s">
        <v>456</v>
      </c>
      <c r="B171" s="121" t="s">
        <v>21</v>
      </c>
      <c r="C171" s="122">
        <v>92868</v>
      </c>
      <c r="D171" s="123" t="s">
        <v>365</v>
      </c>
      <c r="E171" s="348"/>
      <c r="F171" s="348"/>
      <c r="G171" s="124">
        <v>5</v>
      </c>
      <c r="H171" s="140" t="s">
        <v>62</v>
      </c>
    </row>
    <row r="172" spans="1:8" s="3" customFormat="1" ht="22.5">
      <c r="A172" s="120" t="s">
        <v>457</v>
      </c>
      <c r="B172" s="121" t="s">
        <v>21</v>
      </c>
      <c r="C172" s="137">
        <v>91997</v>
      </c>
      <c r="D172" s="138" t="s">
        <v>367</v>
      </c>
      <c r="E172" s="348"/>
      <c r="F172" s="348"/>
      <c r="G172" s="139">
        <v>5</v>
      </c>
      <c r="H172" s="140" t="s">
        <v>62</v>
      </c>
    </row>
    <row r="173" spans="1:8" s="3" customFormat="1" ht="22.5">
      <c r="A173" s="120" t="s">
        <v>458</v>
      </c>
      <c r="B173" s="121" t="s">
        <v>21</v>
      </c>
      <c r="C173" s="137">
        <v>92023</v>
      </c>
      <c r="D173" s="138" t="s">
        <v>423</v>
      </c>
      <c r="E173" s="348"/>
      <c r="F173" s="348"/>
      <c r="G173" s="139">
        <v>2</v>
      </c>
      <c r="H173" s="140" t="s">
        <v>62</v>
      </c>
    </row>
    <row r="174" spans="1:8" s="3" customFormat="1" ht="12.75">
      <c r="A174" s="120" t="s">
        <v>459</v>
      </c>
      <c r="B174" s="121" t="s">
        <v>437</v>
      </c>
      <c r="C174" s="137" t="str">
        <f>'COMPOSIÇÃO DE MERCADO'!A6</f>
        <v>COMP001</v>
      </c>
      <c r="D174" s="138" t="str">
        <f>'COMPOSIÇÃO DE MERCADO'!B6</f>
        <v>PAINEL ESTRELA TRIANGULO 10CV 220V</v>
      </c>
      <c r="E174" s="348"/>
      <c r="F174" s="348"/>
      <c r="G174" s="139">
        <v>1</v>
      </c>
      <c r="H174" s="140" t="s">
        <v>62</v>
      </c>
    </row>
    <row r="175" spans="1:8" s="3" customFormat="1" ht="13.5" thickBot="1">
      <c r="A175" s="120" t="s">
        <v>460</v>
      </c>
      <c r="B175" s="121" t="s">
        <v>437</v>
      </c>
      <c r="C175" s="137" t="str">
        <f>'COMPOSIÇÃO DE MERCADO'!A7</f>
        <v>COMP002</v>
      </c>
      <c r="D175" s="138" t="str">
        <f>'COMPOSIÇÃO DE MERCADO'!B7</f>
        <v>REFLETOR LED 200W</v>
      </c>
      <c r="E175" s="348"/>
      <c r="F175" s="348"/>
      <c r="G175" s="139">
        <v>12</v>
      </c>
      <c r="H175" s="140" t="s">
        <v>62</v>
      </c>
    </row>
    <row r="176" spans="1:8" s="3" customFormat="1" ht="18.75" customHeight="1" thickBot="1">
      <c r="A176" s="114">
        <v>5</v>
      </c>
      <c r="B176" s="361" t="s">
        <v>350</v>
      </c>
      <c r="C176" s="362"/>
      <c r="D176" s="362"/>
      <c r="E176" s="362"/>
      <c r="F176" s="362"/>
      <c r="G176" s="362"/>
      <c r="H176" s="363"/>
    </row>
    <row r="177" spans="1:8" s="3" customFormat="1" ht="18.75" customHeight="1" thickBot="1">
      <c r="A177" s="131" t="s">
        <v>317</v>
      </c>
      <c r="B177" s="349" t="s">
        <v>94</v>
      </c>
      <c r="C177" s="350"/>
      <c r="D177" s="350"/>
      <c r="E177" s="350"/>
      <c r="F177" s="350"/>
      <c r="G177" s="350"/>
      <c r="H177" s="351"/>
    </row>
    <row r="178" spans="1:8" ht="13.5" customHeight="1">
      <c r="A178" s="146" t="s">
        <v>0</v>
      </c>
      <c r="B178" s="147" t="s">
        <v>22</v>
      </c>
      <c r="C178" s="148" t="s">
        <v>5</v>
      </c>
      <c r="D178" s="148" t="s">
        <v>1</v>
      </c>
      <c r="E178" s="352" t="s">
        <v>10</v>
      </c>
      <c r="F178" s="353"/>
      <c r="G178" s="149" t="s">
        <v>2</v>
      </c>
      <c r="H178" s="150" t="s">
        <v>3</v>
      </c>
    </row>
    <row r="179" spans="1:8" s="3" customFormat="1" ht="23.25" thickBot="1">
      <c r="A179" s="151" t="s">
        <v>318</v>
      </c>
      <c r="B179" s="121" t="s">
        <v>60</v>
      </c>
      <c r="C179" s="141" t="s">
        <v>128</v>
      </c>
      <c r="D179" s="143" t="s">
        <v>127</v>
      </c>
      <c r="E179" s="354" t="s">
        <v>202</v>
      </c>
      <c r="F179" s="355"/>
      <c r="G179" s="139">
        <f>'PLANILHA DE CALCÚLO (escritó..)'!B28</f>
        <v>25.95</v>
      </c>
      <c r="H179" s="140" t="s">
        <v>8</v>
      </c>
    </row>
    <row r="180" spans="1:8" s="3" customFormat="1" ht="18.75" customHeight="1" thickBot="1">
      <c r="A180" s="131" t="s">
        <v>319</v>
      </c>
      <c r="B180" s="349" t="s">
        <v>186</v>
      </c>
      <c r="C180" s="350"/>
      <c r="D180" s="350"/>
      <c r="E180" s="350"/>
      <c r="F180" s="350"/>
      <c r="G180" s="350"/>
      <c r="H180" s="351"/>
    </row>
    <row r="181" spans="1:8" ht="13.5" customHeight="1">
      <c r="A181" s="146" t="s">
        <v>0</v>
      </c>
      <c r="B181" s="147" t="s">
        <v>22</v>
      </c>
      <c r="C181" s="148" t="s">
        <v>5</v>
      </c>
      <c r="D181" s="148" t="s">
        <v>1</v>
      </c>
      <c r="E181" s="352" t="s">
        <v>10</v>
      </c>
      <c r="F181" s="353"/>
      <c r="G181" s="149" t="s">
        <v>2</v>
      </c>
      <c r="H181" s="150" t="s">
        <v>3</v>
      </c>
    </row>
    <row r="182" spans="1:8" s="3" customFormat="1" ht="33.75">
      <c r="A182" s="151" t="s">
        <v>320</v>
      </c>
      <c r="B182" s="121" t="s">
        <v>21</v>
      </c>
      <c r="C182" s="141">
        <v>92543</v>
      </c>
      <c r="D182" s="143" t="s">
        <v>187</v>
      </c>
      <c r="E182" s="354" t="s">
        <v>203</v>
      </c>
      <c r="F182" s="355"/>
      <c r="G182" s="139">
        <v>17.39</v>
      </c>
      <c r="H182" s="140" t="s">
        <v>8</v>
      </c>
    </row>
    <row r="183" spans="1:8" s="3" customFormat="1" ht="33.75">
      <c r="A183" s="151" t="s">
        <v>321</v>
      </c>
      <c r="B183" s="121" t="s">
        <v>21</v>
      </c>
      <c r="C183" s="141">
        <v>94207</v>
      </c>
      <c r="D183" s="143" t="s">
        <v>188</v>
      </c>
      <c r="E183" s="354" t="s">
        <v>203</v>
      </c>
      <c r="F183" s="355"/>
      <c r="G183" s="139">
        <v>17.39</v>
      </c>
      <c r="H183" s="140" t="s">
        <v>8</v>
      </c>
    </row>
    <row r="184" spans="1:8" s="3" customFormat="1" ht="22.5">
      <c r="A184" s="151" t="s">
        <v>322</v>
      </c>
      <c r="B184" s="121" t="s">
        <v>21</v>
      </c>
      <c r="C184" s="141">
        <v>94231</v>
      </c>
      <c r="D184" s="143" t="s">
        <v>189</v>
      </c>
      <c r="E184" s="358" t="s">
        <v>205</v>
      </c>
      <c r="F184" s="358"/>
      <c r="G184" s="139">
        <v>4.7</v>
      </c>
      <c r="H184" s="140" t="s">
        <v>11</v>
      </c>
    </row>
    <row r="185" spans="1:8" s="3" customFormat="1" ht="22.5">
      <c r="A185" s="151" t="s">
        <v>323</v>
      </c>
      <c r="B185" s="121" t="s">
        <v>21</v>
      </c>
      <c r="C185" s="141">
        <v>94229</v>
      </c>
      <c r="D185" s="143" t="s">
        <v>190</v>
      </c>
      <c r="E185" s="358" t="s">
        <v>206</v>
      </c>
      <c r="F185" s="358"/>
      <c r="G185" s="139">
        <v>4.7</v>
      </c>
      <c r="H185" s="140" t="s">
        <v>11</v>
      </c>
    </row>
    <row r="186" spans="1:8" s="3" customFormat="1" ht="13.5" thickBot="1">
      <c r="A186" s="151" t="s">
        <v>324</v>
      </c>
      <c r="B186" s="121" t="s">
        <v>21</v>
      </c>
      <c r="C186" s="141">
        <v>101979</v>
      </c>
      <c r="D186" s="143" t="s">
        <v>191</v>
      </c>
      <c r="E186" s="358" t="s">
        <v>204</v>
      </c>
      <c r="F186" s="358"/>
      <c r="G186" s="139">
        <v>16.8</v>
      </c>
      <c r="H186" s="140" t="s">
        <v>11</v>
      </c>
    </row>
    <row r="187" spans="1:8" s="3" customFormat="1" ht="18.75" customHeight="1" thickBot="1">
      <c r="A187" s="131" t="s">
        <v>325</v>
      </c>
      <c r="B187" s="349" t="s">
        <v>198</v>
      </c>
      <c r="C187" s="350"/>
      <c r="D187" s="350"/>
      <c r="E187" s="350"/>
      <c r="F187" s="350"/>
      <c r="G187" s="350"/>
      <c r="H187" s="351"/>
    </row>
    <row r="188" spans="1:8" ht="13.5" customHeight="1" thickBot="1">
      <c r="A188" s="132" t="s">
        <v>0</v>
      </c>
      <c r="B188" s="133" t="s">
        <v>22</v>
      </c>
      <c r="C188" s="134" t="s">
        <v>5</v>
      </c>
      <c r="D188" s="134" t="s">
        <v>1</v>
      </c>
      <c r="E188" s="359" t="s">
        <v>10</v>
      </c>
      <c r="F188" s="360"/>
      <c r="G188" s="135" t="s">
        <v>2</v>
      </c>
      <c r="H188" s="136" t="s">
        <v>3</v>
      </c>
    </row>
    <row r="189" spans="1:8" s="3" customFormat="1" ht="12.75">
      <c r="A189" s="120" t="s">
        <v>326</v>
      </c>
      <c r="B189" s="121" t="s">
        <v>60</v>
      </c>
      <c r="C189" s="142" t="s">
        <v>194</v>
      </c>
      <c r="D189" s="138" t="s">
        <v>195</v>
      </c>
      <c r="E189" s="348" t="s">
        <v>207</v>
      </c>
      <c r="F189" s="348"/>
      <c r="G189" s="139">
        <f>G186</f>
        <v>16.8</v>
      </c>
      <c r="H189" s="140" t="s">
        <v>8</v>
      </c>
    </row>
    <row r="190" spans="1:8" s="3" customFormat="1" ht="23.25" thickBot="1">
      <c r="A190" s="120" t="s">
        <v>327</v>
      </c>
      <c r="B190" s="141" t="s">
        <v>60</v>
      </c>
      <c r="C190" s="142" t="s">
        <v>196</v>
      </c>
      <c r="D190" s="138" t="s">
        <v>197</v>
      </c>
      <c r="E190" s="348" t="s">
        <v>208</v>
      </c>
      <c r="F190" s="348"/>
      <c r="G190" s="139">
        <f>G189</f>
        <v>16.8</v>
      </c>
      <c r="H190" s="140" t="s">
        <v>8</v>
      </c>
    </row>
    <row r="191" spans="1:8" s="3" customFormat="1" ht="18.75" customHeight="1" thickBot="1">
      <c r="A191" s="131" t="s">
        <v>328</v>
      </c>
      <c r="B191" s="349" t="s">
        <v>96</v>
      </c>
      <c r="C191" s="350"/>
      <c r="D191" s="350"/>
      <c r="E191" s="350"/>
      <c r="F191" s="350"/>
      <c r="G191" s="350"/>
      <c r="H191" s="351"/>
    </row>
    <row r="192" spans="1:8" ht="13.5" customHeight="1">
      <c r="A192" s="146" t="s">
        <v>0</v>
      </c>
      <c r="B192" s="147" t="s">
        <v>22</v>
      </c>
      <c r="C192" s="148" t="s">
        <v>5</v>
      </c>
      <c r="D192" s="148" t="s">
        <v>1</v>
      </c>
      <c r="E192" s="352" t="s">
        <v>10</v>
      </c>
      <c r="F192" s="353"/>
      <c r="G192" s="149" t="s">
        <v>2</v>
      </c>
      <c r="H192" s="150" t="s">
        <v>3</v>
      </c>
    </row>
    <row r="193" spans="1:8" s="3" customFormat="1" ht="23.25" thickBot="1">
      <c r="A193" s="151" t="s">
        <v>362</v>
      </c>
      <c r="B193" s="161" t="s">
        <v>60</v>
      </c>
      <c r="C193" s="162" t="s">
        <v>162</v>
      </c>
      <c r="D193" s="163" t="s">
        <v>161</v>
      </c>
      <c r="E193" s="378" t="s">
        <v>209</v>
      </c>
      <c r="F193" s="378"/>
      <c r="G193" s="164">
        <f>16.89+41.28+16.34+43.84</f>
        <v>118.35</v>
      </c>
      <c r="H193" s="165" t="s">
        <v>8</v>
      </c>
    </row>
    <row r="194" spans="1:8" s="3" customFormat="1" ht="18.75" customHeight="1" thickBot="1">
      <c r="A194" s="131" t="s">
        <v>329</v>
      </c>
      <c r="B194" s="349" t="s">
        <v>212</v>
      </c>
      <c r="C194" s="350"/>
      <c r="D194" s="350"/>
      <c r="E194" s="350"/>
      <c r="F194" s="350"/>
      <c r="G194" s="350"/>
      <c r="H194" s="351"/>
    </row>
    <row r="195" spans="1:8" ht="13.5" customHeight="1">
      <c r="A195" s="146" t="s">
        <v>0</v>
      </c>
      <c r="B195" s="147" t="s">
        <v>22</v>
      </c>
      <c r="C195" s="148" t="s">
        <v>5</v>
      </c>
      <c r="D195" s="148" t="s">
        <v>1</v>
      </c>
      <c r="E195" s="352" t="s">
        <v>10</v>
      </c>
      <c r="F195" s="353"/>
      <c r="G195" s="149" t="s">
        <v>2</v>
      </c>
      <c r="H195" s="150" t="s">
        <v>3</v>
      </c>
    </row>
    <row r="196" spans="1:8" s="3" customFormat="1" ht="22.5">
      <c r="A196" s="120" t="s">
        <v>330</v>
      </c>
      <c r="B196" s="121" t="s">
        <v>21</v>
      </c>
      <c r="C196" s="137">
        <v>91927</v>
      </c>
      <c r="D196" s="138" t="s">
        <v>366</v>
      </c>
      <c r="E196" s="348"/>
      <c r="F196" s="348"/>
      <c r="G196" s="139">
        <v>120</v>
      </c>
      <c r="H196" s="140" t="s">
        <v>11</v>
      </c>
    </row>
    <row r="197" spans="1:8" s="3" customFormat="1" ht="22.5">
      <c r="A197" s="120" t="s">
        <v>331</v>
      </c>
      <c r="B197" s="121" t="s">
        <v>21</v>
      </c>
      <c r="C197" s="137">
        <v>91928</v>
      </c>
      <c r="D197" s="138" t="s">
        <v>422</v>
      </c>
      <c r="E197" s="348"/>
      <c r="F197" s="348"/>
      <c r="G197" s="139">
        <v>100</v>
      </c>
      <c r="H197" s="140" t="s">
        <v>11</v>
      </c>
    </row>
    <row r="198" spans="1:8" s="3" customFormat="1" ht="22.5">
      <c r="A198" s="120" t="s">
        <v>332</v>
      </c>
      <c r="B198" s="121" t="s">
        <v>21</v>
      </c>
      <c r="C198" s="122">
        <v>92868</v>
      </c>
      <c r="D198" s="123" t="s">
        <v>365</v>
      </c>
      <c r="E198" s="348"/>
      <c r="F198" s="348"/>
      <c r="G198" s="124">
        <v>6</v>
      </c>
      <c r="H198" s="140" t="s">
        <v>62</v>
      </c>
    </row>
    <row r="199" spans="1:8" s="3" customFormat="1" ht="22.5">
      <c r="A199" s="120" t="s">
        <v>467</v>
      </c>
      <c r="B199" s="121" t="s">
        <v>21</v>
      </c>
      <c r="C199" s="137">
        <v>91997</v>
      </c>
      <c r="D199" s="138" t="s">
        <v>367</v>
      </c>
      <c r="E199" s="348"/>
      <c r="F199" s="348"/>
      <c r="G199" s="139">
        <v>9</v>
      </c>
      <c r="H199" s="140" t="s">
        <v>62</v>
      </c>
    </row>
    <row r="200" spans="1:8" s="3" customFormat="1" ht="22.5">
      <c r="A200" s="120" t="s">
        <v>468</v>
      </c>
      <c r="B200" s="121" t="s">
        <v>21</v>
      </c>
      <c r="C200" s="137">
        <v>92023</v>
      </c>
      <c r="D200" s="138" t="s">
        <v>423</v>
      </c>
      <c r="E200" s="348"/>
      <c r="F200" s="348"/>
      <c r="G200" s="139">
        <v>2</v>
      </c>
      <c r="H200" s="140" t="s">
        <v>62</v>
      </c>
    </row>
    <row r="201" spans="1:8" s="3" customFormat="1" ht="22.5">
      <c r="A201" s="120" t="s">
        <v>469</v>
      </c>
      <c r="B201" s="121" t="s">
        <v>60</v>
      </c>
      <c r="C201" s="137" t="s">
        <v>370</v>
      </c>
      <c r="D201" s="138" t="s">
        <v>363</v>
      </c>
      <c r="E201" s="348"/>
      <c r="F201" s="348"/>
      <c r="G201" s="139">
        <v>30</v>
      </c>
      <c r="H201" s="140" t="s">
        <v>11</v>
      </c>
    </row>
    <row r="202" spans="1:8" s="3" customFormat="1" ht="22.5">
      <c r="A202" s="120" t="s">
        <v>470</v>
      </c>
      <c r="B202" s="121" t="s">
        <v>21</v>
      </c>
      <c r="C202" s="137">
        <v>97584</v>
      </c>
      <c r="D202" s="138" t="s">
        <v>368</v>
      </c>
      <c r="E202" s="348"/>
      <c r="F202" s="348"/>
      <c r="G202" s="139">
        <v>3</v>
      </c>
      <c r="H202" s="140" t="s">
        <v>62</v>
      </c>
    </row>
    <row r="203" spans="1:8" s="3" customFormat="1" ht="34.5" thickBot="1">
      <c r="A203" s="120" t="s">
        <v>471</v>
      </c>
      <c r="B203" s="121" t="s">
        <v>21</v>
      </c>
      <c r="C203" s="137">
        <v>101878</v>
      </c>
      <c r="D203" s="138" t="s">
        <v>369</v>
      </c>
      <c r="E203" s="348"/>
      <c r="F203" s="348"/>
      <c r="G203" s="139">
        <v>1</v>
      </c>
      <c r="H203" s="140" t="s">
        <v>62</v>
      </c>
    </row>
    <row r="204" spans="1:8" s="3" customFormat="1" ht="18.75" customHeight="1" thickBot="1">
      <c r="A204" s="131" t="s">
        <v>333</v>
      </c>
      <c r="B204" s="349" t="s">
        <v>213</v>
      </c>
      <c r="C204" s="350"/>
      <c r="D204" s="350"/>
      <c r="E204" s="350"/>
      <c r="F204" s="350"/>
      <c r="G204" s="350"/>
      <c r="H204" s="351"/>
    </row>
    <row r="205" spans="1:8" ht="13.5" customHeight="1">
      <c r="A205" s="146" t="s">
        <v>0</v>
      </c>
      <c r="B205" s="147" t="s">
        <v>22</v>
      </c>
      <c r="C205" s="148" t="s">
        <v>5</v>
      </c>
      <c r="D205" s="148" t="s">
        <v>1</v>
      </c>
      <c r="E205" s="352" t="s">
        <v>10</v>
      </c>
      <c r="F205" s="353"/>
      <c r="G205" s="149" t="s">
        <v>2</v>
      </c>
      <c r="H205" s="150" t="s">
        <v>3</v>
      </c>
    </row>
    <row r="206" spans="1:8" s="3" customFormat="1" ht="22.5">
      <c r="A206" s="120" t="s">
        <v>334</v>
      </c>
      <c r="B206" s="121" t="s">
        <v>21</v>
      </c>
      <c r="C206" s="122">
        <v>89972</v>
      </c>
      <c r="D206" s="123" t="s">
        <v>493</v>
      </c>
      <c r="E206" s="348"/>
      <c r="F206" s="348"/>
      <c r="G206" s="124">
        <v>1</v>
      </c>
      <c r="H206" s="140" t="s">
        <v>62</v>
      </c>
    </row>
    <row r="207" spans="1:8" ht="22.5">
      <c r="A207" s="120" t="s">
        <v>335</v>
      </c>
      <c r="B207" s="121" t="s">
        <v>21</v>
      </c>
      <c r="C207" s="122">
        <v>86884</v>
      </c>
      <c r="D207" s="123" t="s">
        <v>380</v>
      </c>
      <c r="E207" s="166"/>
      <c r="F207" s="167"/>
      <c r="G207" s="124">
        <v>1</v>
      </c>
      <c r="H207" s="140" t="s">
        <v>62</v>
      </c>
    </row>
    <row r="208" spans="1:8" ht="12.75">
      <c r="A208" s="120" t="s">
        <v>336</v>
      </c>
      <c r="B208" s="121" t="s">
        <v>21</v>
      </c>
      <c r="C208" s="122">
        <v>86886</v>
      </c>
      <c r="D208" s="123" t="s">
        <v>381</v>
      </c>
      <c r="E208" s="166"/>
      <c r="F208" s="167"/>
      <c r="G208" s="124">
        <v>1</v>
      </c>
      <c r="H208" s="140" t="s">
        <v>62</v>
      </c>
    </row>
    <row r="209" spans="1:8" ht="22.5">
      <c r="A209" s="120" t="s">
        <v>472</v>
      </c>
      <c r="B209" s="121" t="s">
        <v>21</v>
      </c>
      <c r="C209" s="122">
        <v>89366</v>
      </c>
      <c r="D209" s="123" t="s">
        <v>384</v>
      </c>
      <c r="E209" s="166"/>
      <c r="F209" s="167"/>
      <c r="G209" s="124">
        <v>1</v>
      </c>
      <c r="H209" s="140" t="s">
        <v>62</v>
      </c>
    </row>
    <row r="210" spans="1:8" ht="33.75">
      <c r="A210" s="120" t="s">
        <v>473</v>
      </c>
      <c r="B210" s="121" t="s">
        <v>21</v>
      </c>
      <c r="C210" s="122">
        <v>89383</v>
      </c>
      <c r="D210" s="123" t="s">
        <v>379</v>
      </c>
      <c r="E210" s="166"/>
      <c r="F210" s="167"/>
      <c r="G210" s="124">
        <v>2</v>
      </c>
      <c r="H210" s="140" t="s">
        <v>62</v>
      </c>
    </row>
    <row r="211" spans="1:8" ht="22.5">
      <c r="A211" s="120" t="s">
        <v>474</v>
      </c>
      <c r="B211" s="121" t="s">
        <v>21</v>
      </c>
      <c r="C211" s="122">
        <v>89362</v>
      </c>
      <c r="D211" s="123" t="s">
        <v>382</v>
      </c>
      <c r="E211" s="166"/>
      <c r="F211" s="167"/>
      <c r="G211" s="124">
        <v>1</v>
      </c>
      <c r="H211" s="140" t="s">
        <v>62</v>
      </c>
    </row>
    <row r="212" spans="1:8" ht="22.5">
      <c r="A212" s="120" t="s">
        <v>475</v>
      </c>
      <c r="B212" s="121" t="s">
        <v>21</v>
      </c>
      <c r="C212" s="122">
        <v>89401</v>
      </c>
      <c r="D212" s="123" t="s">
        <v>385</v>
      </c>
      <c r="E212" s="166"/>
      <c r="F212" s="167"/>
      <c r="G212" s="124">
        <v>80</v>
      </c>
      <c r="H212" s="140" t="s">
        <v>11</v>
      </c>
    </row>
    <row r="213" spans="1:8" ht="22.5">
      <c r="A213" s="120" t="s">
        <v>476</v>
      </c>
      <c r="B213" s="121" t="s">
        <v>21</v>
      </c>
      <c r="C213" s="122">
        <v>89402</v>
      </c>
      <c r="D213" s="123" t="s">
        <v>383</v>
      </c>
      <c r="E213" s="168"/>
      <c r="F213" s="169"/>
      <c r="G213" s="124">
        <v>3.3</v>
      </c>
      <c r="H213" s="140" t="s">
        <v>11</v>
      </c>
    </row>
    <row r="214" spans="1:8" ht="23.25" thickBot="1">
      <c r="A214" s="120" t="s">
        <v>477</v>
      </c>
      <c r="B214" s="121" t="s">
        <v>21</v>
      </c>
      <c r="C214" s="122">
        <v>88504</v>
      </c>
      <c r="D214" s="123" t="s">
        <v>461</v>
      </c>
      <c r="E214" s="168"/>
      <c r="F214" s="169"/>
      <c r="G214" s="124">
        <v>1</v>
      </c>
      <c r="H214" s="140" t="s">
        <v>62</v>
      </c>
    </row>
    <row r="215" spans="1:8" s="3" customFormat="1" ht="18.75" customHeight="1" thickBot="1">
      <c r="A215" s="131" t="s">
        <v>337</v>
      </c>
      <c r="B215" s="349" t="s">
        <v>214</v>
      </c>
      <c r="C215" s="350"/>
      <c r="D215" s="350"/>
      <c r="E215" s="350"/>
      <c r="F215" s="350"/>
      <c r="G215" s="350"/>
      <c r="H215" s="351"/>
    </row>
    <row r="216" spans="1:8" ht="13.5" customHeight="1">
      <c r="A216" s="146" t="s">
        <v>0</v>
      </c>
      <c r="B216" s="147" t="s">
        <v>22</v>
      </c>
      <c r="C216" s="148" t="s">
        <v>5</v>
      </c>
      <c r="D216" s="148" t="s">
        <v>1</v>
      </c>
      <c r="E216" s="352" t="s">
        <v>10</v>
      </c>
      <c r="F216" s="353"/>
      <c r="G216" s="149" t="s">
        <v>2</v>
      </c>
      <c r="H216" s="150" t="s">
        <v>3</v>
      </c>
    </row>
    <row r="217" spans="1:8" ht="22.5">
      <c r="A217" s="161" t="s">
        <v>338</v>
      </c>
      <c r="B217" s="161" t="s">
        <v>60</v>
      </c>
      <c r="C217" s="122" t="s">
        <v>217</v>
      </c>
      <c r="D217" s="123" t="s">
        <v>216</v>
      </c>
      <c r="E217" s="358" t="s">
        <v>99</v>
      </c>
      <c r="F217" s="358"/>
      <c r="G217" s="124">
        <v>1</v>
      </c>
      <c r="H217" s="140" t="s">
        <v>62</v>
      </c>
    </row>
    <row r="218" spans="1:8" s="3" customFormat="1" ht="12.75">
      <c r="A218" s="161" t="s">
        <v>339</v>
      </c>
      <c r="B218" s="141" t="s">
        <v>215</v>
      </c>
      <c r="C218" s="122">
        <v>5103</v>
      </c>
      <c r="D218" s="123" t="s">
        <v>224</v>
      </c>
      <c r="E218" s="358" t="s">
        <v>99</v>
      </c>
      <c r="F218" s="358"/>
      <c r="G218" s="124">
        <v>1</v>
      </c>
      <c r="H218" s="140" t="s">
        <v>62</v>
      </c>
    </row>
    <row r="219" spans="1:8" s="3" customFormat="1" ht="22.5">
      <c r="A219" s="161" t="s">
        <v>340</v>
      </c>
      <c r="B219" s="121" t="s">
        <v>21</v>
      </c>
      <c r="C219" s="137">
        <v>86883</v>
      </c>
      <c r="D219" s="138" t="s">
        <v>218</v>
      </c>
      <c r="E219" s="358" t="s">
        <v>99</v>
      </c>
      <c r="F219" s="358"/>
      <c r="G219" s="139">
        <v>1</v>
      </c>
      <c r="H219" s="140" t="s">
        <v>62</v>
      </c>
    </row>
    <row r="220" spans="1:8" s="3" customFormat="1" ht="12.75">
      <c r="A220" s="161" t="s">
        <v>341</v>
      </c>
      <c r="B220" s="141" t="s">
        <v>215</v>
      </c>
      <c r="C220" s="137">
        <v>38643</v>
      </c>
      <c r="D220" s="138" t="s">
        <v>219</v>
      </c>
      <c r="E220" s="358" t="s">
        <v>99</v>
      </c>
      <c r="F220" s="358"/>
      <c r="G220" s="139">
        <v>1</v>
      </c>
      <c r="H220" s="140" t="s">
        <v>62</v>
      </c>
    </row>
    <row r="221" spans="1:8" s="3" customFormat="1" ht="33.75">
      <c r="A221" s="161" t="s">
        <v>342</v>
      </c>
      <c r="B221" s="121" t="s">
        <v>21</v>
      </c>
      <c r="C221" s="137">
        <v>89728</v>
      </c>
      <c r="D221" s="138" t="s">
        <v>226</v>
      </c>
      <c r="E221" s="358" t="s">
        <v>99</v>
      </c>
      <c r="F221" s="358"/>
      <c r="G221" s="139">
        <v>1</v>
      </c>
      <c r="H221" s="140" t="s">
        <v>62</v>
      </c>
    </row>
    <row r="222" spans="1:8" s="3" customFormat="1" ht="33.75">
      <c r="A222" s="161" t="s">
        <v>478</v>
      </c>
      <c r="B222" s="121" t="s">
        <v>21</v>
      </c>
      <c r="C222" s="137">
        <v>89724</v>
      </c>
      <c r="D222" s="138" t="s">
        <v>227</v>
      </c>
      <c r="E222" s="358" t="s">
        <v>99</v>
      </c>
      <c r="F222" s="358"/>
      <c r="G222" s="139">
        <v>1</v>
      </c>
      <c r="H222" s="140" t="s">
        <v>62</v>
      </c>
    </row>
    <row r="223" spans="1:8" s="3" customFormat="1" ht="33.75">
      <c r="A223" s="161" t="s">
        <v>479</v>
      </c>
      <c r="B223" s="121" t="s">
        <v>21</v>
      </c>
      <c r="C223" s="137">
        <v>89731</v>
      </c>
      <c r="D223" s="138" t="s">
        <v>228</v>
      </c>
      <c r="E223" s="358" t="s">
        <v>99</v>
      </c>
      <c r="F223" s="358"/>
      <c r="G223" s="139">
        <v>3</v>
      </c>
      <c r="H223" s="140" t="s">
        <v>62</v>
      </c>
    </row>
    <row r="224" spans="1:8" s="3" customFormat="1" ht="33.75">
      <c r="A224" s="161" t="s">
        <v>480</v>
      </c>
      <c r="B224" s="121" t="s">
        <v>21</v>
      </c>
      <c r="C224" s="137">
        <v>89744</v>
      </c>
      <c r="D224" s="138" t="s">
        <v>225</v>
      </c>
      <c r="E224" s="358" t="s">
        <v>99</v>
      </c>
      <c r="F224" s="358"/>
      <c r="G224" s="139">
        <v>1</v>
      </c>
      <c r="H224" s="140" t="s">
        <v>62</v>
      </c>
    </row>
    <row r="225" spans="1:8" s="3" customFormat="1" ht="30" customHeight="1">
      <c r="A225" s="161" t="s">
        <v>481</v>
      </c>
      <c r="B225" s="121" t="s">
        <v>21</v>
      </c>
      <c r="C225" s="137">
        <v>89797</v>
      </c>
      <c r="D225" s="138" t="s">
        <v>424</v>
      </c>
      <c r="E225" s="358" t="s">
        <v>99</v>
      </c>
      <c r="F225" s="358"/>
      <c r="G225" s="139">
        <v>1</v>
      </c>
      <c r="H225" s="140" t="s">
        <v>62</v>
      </c>
    </row>
    <row r="226" spans="1:8" s="3" customFormat="1" ht="22.5">
      <c r="A226" s="161" t="s">
        <v>482</v>
      </c>
      <c r="B226" s="121" t="s">
        <v>21</v>
      </c>
      <c r="C226" s="137">
        <v>89714</v>
      </c>
      <c r="D226" s="138" t="s">
        <v>220</v>
      </c>
      <c r="E226" s="358" t="s">
        <v>99</v>
      </c>
      <c r="F226" s="358"/>
      <c r="G226" s="139">
        <v>5</v>
      </c>
      <c r="H226" s="140" t="s">
        <v>11</v>
      </c>
    </row>
    <row r="227" spans="1:8" s="3" customFormat="1" ht="22.5">
      <c r="A227" s="161" t="s">
        <v>483</v>
      </c>
      <c r="B227" s="121" t="s">
        <v>21</v>
      </c>
      <c r="C227" s="137">
        <v>89798</v>
      </c>
      <c r="D227" s="138" t="s">
        <v>221</v>
      </c>
      <c r="E227" s="358" t="s">
        <v>99</v>
      </c>
      <c r="F227" s="358"/>
      <c r="G227" s="139">
        <v>5</v>
      </c>
      <c r="H227" s="140" t="s">
        <v>11</v>
      </c>
    </row>
    <row r="228" spans="1:8" s="3" customFormat="1" ht="22.5">
      <c r="A228" s="161" t="s">
        <v>484</v>
      </c>
      <c r="B228" s="121" t="s">
        <v>21</v>
      </c>
      <c r="C228" s="137">
        <v>89711</v>
      </c>
      <c r="D228" s="138" t="s">
        <v>222</v>
      </c>
      <c r="E228" s="358" t="s">
        <v>99</v>
      </c>
      <c r="F228" s="358"/>
      <c r="G228" s="139">
        <v>1</v>
      </c>
      <c r="H228" s="140" t="s">
        <v>11</v>
      </c>
    </row>
    <row r="229" spans="1:8" s="3" customFormat="1" ht="22.5">
      <c r="A229" s="161" t="s">
        <v>485</v>
      </c>
      <c r="B229" s="121" t="s">
        <v>21</v>
      </c>
      <c r="C229" s="137">
        <v>89784</v>
      </c>
      <c r="D229" s="138" t="s">
        <v>364</v>
      </c>
      <c r="E229" s="358" t="s">
        <v>99</v>
      </c>
      <c r="F229" s="358"/>
      <c r="G229" s="139">
        <v>1</v>
      </c>
      <c r="H229" s="140" t="s">
        <v>62</v>
      </c>
    </row>
    <row r="230" spans="1:8" s="3" customFormat="1" ht="13.5" thickBot="1">
      <c r="A230" s="161" t="s">
        <v>486</v>
      </c>
      <c r="B230" s="141" t="s">
        <v>215</v>
      </c>
      <c r="C230" s="137">
        <v>39319</v>
      </c>
      <c r="D230" s="138" t="s">
        <v>223</v>
      </c>
      <c r="E230" s="358" t="s">
        <v>99</v>
      </c>
      <c r="F230" s="358"/>
      <c r="G230" s="139">
        <v>1</v>
      </c>
      <c r="H230" s="140" t="s">
        <v>62</v>
      </c>
    </row>
    <row r="231" spans="1:8" s="3" customFormat="1" ht="18.75" customHeight="1" thickBot="1">
      <c r="A231" s="131" t="s">
        <v>343</v>
      </c>
      <c r="B231" s="349" t="s">
        <v>211</v>
      </c>
      <c r="C231" s="350"/>
      <c r="D231" s="350"/>
      <c r="E231" s="350"/>
      <c r="F231" s="350"/>
      <c r="G231" s="350"/>
      <c r="H231" s="351"/>
    </row>
    <row r="232" spans="1:8" ht="13.5" customHeight="1">
      <c r="A232" s="146" t="s">
        <v>0</v>
      </c>
      <c r="B232" s="147" t="s">
        <v>22</v>
      </c>
      <c r="C232" s="148" t="s">
        <v>5</v>
      </c>
      <c r="D232" s="148" t="s">
        <v>1</v>
      </c>
      <c r="E232" s="352" t="s">
        <v>10</v>
      </c>
      <c r="F232" s="353"/>
      <c r="G232" s="149" t="s">
        <v>2</v>
      </c>
      <c r="H232" s="150" t="s">
        <v>3</v>
      </c>
    </row>
    <row r="233" spans="1:8" s="3" customFormat="1" ht="12.75">
      <c r="A233" s="120" t="s">
        <v>344</v>
      </c>
      <c r="B233" s="121" t="s">
        <v>60</v>
      </c>
      <c r="C233" s="122" t="s">
        <v>164</v>
      </c>
      <c r="D233" s="123" t="s">
        <v>163</v>
      </c>
      <c r="E233" s="348"/>
      <c r="F233" s="348"/>
      <c r="G233" s="124">
        <f>1*1.2*2</f>
        <v>2.4</v>
      </c>
      <c r="H233" s="140" t="s">
        <v>8</v>
      </c>
    </row>
    <row r="234" spans="1:8" s="3" customFormat="1" ht="12.75">
      <c r="A234" s="120" t="s">
        <v>345</v>
      </c>
      <c r="B234" s="121" t="s">
        <v>60</v>
      </c>
      <c r="C234" s="137" t="s">
        <v>166</v>
      </c>
      <c r="D234" s="138" t="s">
        <v>165</v>
      </c>
      <c r="E234" s="348"/>
      <c r="F234" s="348"/>
      <c r="G234" s="139">
        <f>0.6*0.3</f>
        <v>0.18</v>
      </c>
      <c r="H234" s="140" t="s">
        <v>8</v>
      </c>
    </row>
    <row r="235" spans="1:8" s="3" customFormat="1" ht="12.75">
      <c r="A235" s="120" t="s">
        <v>487</v>
      </c>
      <c r="B235" s="141" t="s">
        <v>21</v>
      </c>
      <c r="C235" s="137">
        <v>100701</v>
      </c>
      <c r="D235" s="138" t="s">
        <v>172</v>
      </c>
      <c r="E235" s="348"/>
      <c r="F235" s="348"/>
      <c r="G235" s="139">
        <f>0.8*2.1</f>
        <v>1.68</v>
      </c>
      <c r="H235" s="140" t="s">
        <v>8</v>
      </c>
    </row>
    <row r="236" spans="1:8" s="3" customFormat="1" ht="45.75" thickBot="1">
      <c r="A236" s="120" t="s">
        <v>488</v>
      </c>
      <c r="B236" s="141" t="s">
        <v>21</v>
      </c>
      <c r="C236" s="137">
        <v>100684</v>
      </c>
      <c r="D236" s="138" t="s">
        <v>173</v>
      </c>
      <c r="E236" s="348"/>
      <c r="F236" s="348"/>
      <c r="G236" s="139">
        <v>1</v>
      </c>
      <c r="H236" s="140" t="s">
        <v>62</v>
      </c>
    </row>
    <row r="237" spans="1:8" s="3" customFormat="1" ht="18.75" customHeight="1" thickBot="1">
      <c r="A237" s="131" t="s">
        <v>346</v>
      </c>
      <c r="B237" s="349" t="s">
        <v>199</v>
      </c>
      <c r="C237" s="350"/>
      <c r="D237" s="350"/>
      <c r="E237" s="350"/>
      <c r="F237" s="350"/>
      <c r="G237" s="350"/>
      <c r="H237" s="351"/>
    </row>
    <row r="238" spans="1:8" ht="13.5" customHeight="1" thickBot="1">
      <c r="A238" s="132" t="s">
        <v>0</v>
      </c>
      <c r="B238" s="133" t="s">
        <v>22</v>
      </c>
      <c r="C238" s="134" t="s">
        <v>5</v>
      </c>
      <c r="D238" s="134" t="s">
        <v>1</v>
      </c>
      <c r="E238" s="359" t="s">
        <v>10</v>
      </c>
      <c r="F238" s="360"/>
      <c r="G238" s="135" t="s">
        <v>2</v>
      </c>
      <c r="H238" s="136" t="s">
        <v>3</v>
      </c>
    </row>
    <row r="239" spans="1:8" s="3" customFormat="1" ht="22.5">
      <c r="A239" s="120" t="s">
        <v>347</v>
      </c>
      <c r="B239" s="141" t="s">
        <v>21</v>
      </c>
      <c r="C239" s="142" t="s">
        <v>167</v>
      </c>
      <c r="D239" s="138" t="s">
        <v>168</v>
      </c>
      <c r="E239" s="348"/>
      <c r="F239" s="348"/>
      <c r="G239" s="139">
        <v>1</v>
      </c>
      <c r="H239" s="140" t="s">
        <v>62</v>
      </c>
    </row>
    <row r="240" spans="1:8" s="3" customFormat="1" ht="22.5">
      <c r="A240" s="120" t="s">
        <v>489</v>
      </c>
      <c r="B240" s="141" t="s">
        <v>21</v>
      </c>
      <c r="C240" s="142" t="s">
        <v>169</v>
      </c>
      <c r="D240" s="138" t="s">
        <v>170</v>
      </c>
      <c r="E240" s="348"/>
      <c r="F240" s="348"/>
      <c r="G240" s="139">
        <v>1</v>
      </c>
      <c r="H240" s="140" t="s">
        <v>62</v>
      </c>
    </row>
    <row r="241" spans="1:8" s="3" customFormat="1" ht="22.5">
      <c r="A241" s="120" t="s">
        <v>490</v>
      </c>
      <c r="B241" s="141" t="s">
        <v>21</v>
      </c>
      <c r="C241" s="141">
        <v>86906</v>
      </c>
      <c r="D241" s="143" t="s">
        <v>171</v>
      </c>
      <c r="E241" s="348"/>
      <c r="F241" s="348"/>
      <c r="G241" s="139">
        <v>1</v>
      </c>
      <c r="H241" s="140" t="s">
        <v>62</v>
      </c>
    </row>
    <row r="242" spans="1:8" s="3" customFormat="1" ht="23.25" thickBot="1">
      <c r="A242" s="120" t="s">
        <v>491</v>
      </c>
      <c r="B242" s="141" t="s">
        <v>21</v>
      </c>
      <c r="C242" s="141">
        <v>95546</v>
      </c>
      <c r="D242" s="143" t="s">
        <v>374</v>
      </c>
      <c r="E242" s="348"/>
      <c r="F242" s="348"/>
      <c r="G242" s="139">
        <v>1</v>
      </c>
      <c r="H242" s="140" t="s">
        <v>62</v>
      </c>
    </row>
    <row r="243" spans="1:8" s="3" customFormat="1" ht="18.75" customHeight="1" thickBot="1">
      <c r="A243" s="114">
        <v>6</v>
      </c>
      <c r="B243" s="361" t="s">
        <v>160</v>
      </c>
      <c r="C243" s="362"/>
      <c r="D243" s="362"/>
      <c r="E243" s="362"/>
      <c r="F243" s="362"/>
      <c r="G243" s="362"/>
      <c r="H243" s="363"/>
    </row>
    <row r="244" spans="1:8" s="3" customFormat="1" ht="18.75" customHeight="1" thickBot="1">
      <c r="A244" s="131" t="s">
        <v>348</v>
      </c>
      <c r="B244" s="349" t="s">
        <v>210</v>
      </c>
      <c r="C244" s="350"/>
      <c r="D244" s="350"/>
      <c r="E244" s="350"/>
      <c r="F244" s="350"/>
      <c r="G244" s="350"/>
      <c r="H244" s="351"/>
    </row>
    <row r="245" spans="1:8" ht="13.5" customHeight="1">
      <c r="A245" s="146" t="s">
        <v>0</v>
      </c>
      <c r="B245" s="147" t="s">
        <v>22</v>
      </c>
      <c r="C245" s="148" t="s">
        <v>5</v>
      </c>
      <c r="D245" s="148" t="s">
        <v>1</v>
      </c>
      <c r="E245" s="352" t="s">
        <v>10</v>
      </c>
      <c r="F245" s="353"/>
      <c r="G245" s="149" t="s">
        <v>2</v>
      </c>
      <c r="H245" s="150" t="s">
        <v>3</v>
      </c>
    </row>
    <row r="246" spans="1:8" s="3" customFormat="1" ht="12" customHeight="1">
      <c r="A246" s="151" t="s">
        <v>349</v>
      </c>
      <c r="B246" s="121" t="s">
        <v>60</v>
      </c>
      <c r="C246" s="141" t="s">
        <v>201</v>
      </c>
      <c r="D246" s="143" t="s">
        <v>200</v>
      </c>
      <c r="E246" s="354"/>
      <c r="F246" s="355"/>
      <c r="G246" s="139">
        <f>G183</f>
        <v>17.39</v>
      </c>
      <c r="H246" s="140" t="s">
        <v>8</v>
      </c>
    </row>
  </sheetData>
  <sheetProtection password="CEAA" sheet="1"/>
  <mergeCells count="235">
    <mergeCell ref="E206:F206"/>
    <mergeCell ref="E193:F193"/>
    <mergeCell ref="E196:F196"/>
    <mergeCell ref="B166:H166"/>
    <mergeCell ref="E167:F167"/>
    <mergeCell ref="E154:F154"/>
    <mergeCell ref="E155:F155"/>
    <mergeCell ref="E48:F48"/>
    <mergeCell ref="E163:F163"/>
    <mergeCell ref="E164:F164"/>
    <mergeCell ref="B156:H156"/>
    <mergeCell ref="E157:F157"/>
    <mergeCell ref="E158:F158"/>
    <mergeCell ref="E159:F159"/>
    <mergeCell ref="E146:F146"/>
    <mergeCell ref="E151:F151"/>
    <mergeCell ref="B153:H153"/>
    <mergeCell ref="E216:F216"/>
    <mergeCell ref="E218:F218"/>
    <mergeCell ref="B137:H137"/>
    <mergeCell ref="E138:F138"/>
    <mergeCell ref="E139:F139"/>
    <mergeCell ref="B144:H144"/>
    <mergeCell ref="E145:F145"/>
    <mergeCell ref="E165:F165"/>
    <mergeCell ref="E147:F147"/>
    <mergeCell ref="E148:F148"/>
    <mergeCell ref="B65:H65"/>
    <mergeCell ref="E66:F66"/>
    <mergeCell ref="E67:F67"/>
    <mergeCell ref="E68:F68"/>
    <mergeCell ref="E142:F142"/>
    <mergeCell ref="E143:F143"/>
    <mergeCell ref="E90:F90"/>
    <mergeCell ref="E52:F52"/>
    <mergeCell ref="E53:F53"/>
    <mergeCell ref="E54:F54"/>
    <mergeCell ref="E55:F55"/>
    <mergeCell ref="E56:F56"/>
    <mergeCell ref="E58:F58"/>
    <mergeCell ref="E57:F57"/>
    <mergeCell ref="B237:H237"/>
    <mergeCell ref="B231:H231"/>
    <mergeCell ref="E232:F232"/>
    <mergeCell ref="E233:F233"/>
    <mergeCell ref="E234:F234"/>
    <mergeCell ref="E69:F69"/>
    <mergeCell ref="E229:F229"/>
    <mergeCell ref="E230:F230"/>
    <mergeCell ref="E221:F221"/>
    <mergeCell ref="E127:F127"/>
    <mergeCell ref="E238:F238"/>
    <mergeCell ref="E239:F239"/>
    <mergeCell ref="E240:F240"/>
    <mergeCell ref="E241:F241"/>
    <mergeCell ref="E246:F246"/>
    <mergeCell ref="B244:H244"/>
    <mergeCell ref="E245:F245"/>
    <mergeCell ref="E242:F242"/>
    <mergeCell ref="E236:F236"/>
    <mergeCell ref="B194:H194"/>
    <mergeCell ref="E195:F195"/>
    <mergeCell ref="B180:H180"/>
    <mergeCell ref="E186:F186"/>
    <mergeCell ref="E219:F219"/>
    <mergeCell ref="E217:F217"/>
    <mergeCell ref="E201:F201"/>
    <mergeCell ref="E199:F199"/>
    <mergeCell ref="E223:F223"/>
    <mergeCell ref="E235:F235"/>
    <mergeCell ref="E220:F220"/>
    <mergeCell ref="E226:F226"/>
    <mergeCell ref="E227:F227"/>
    <mergeCell ref="E228:F228"/>
    <mergeCell ref="E202:F202"/>
    <mergeCell ref="E203:F203"/>
    <mergeCell ref="E222:F222"/>
    <mergeCell ref="E225:F225"/>
    <mergeCell ref="E224:F224"/>
    <mergeCell ref="E184:F184"/>
    <mergeCell ref="E185:F185"/>
    <mergeCell ref="E181:F181"/>
    <mergeCell ref="B134:H134"/>
    <mergeCell ref="E135:F135"/>
    <mergeCell ref="E136:F136"/>
    <mergeCell ref="E149:F149"/>
    <mergeCell ref="E150:F150"/>
    <mergeCell ref="E162:F162"/>
    <mergeCell ref="E160:F160"/>
    <mergeCell ref="E110:F110"/>
    <mergeCell ref="E111:F111"/>
    <mergeCell ref="E105:F105"/>
    <mergeCell ref="E179:F179"/>
    <mergeCell ref="B177:H177"/>
    <mergeCell ref="E125:F125"/>
    <mergeCell ref="E171:F171"/>
    <mergeCell ref="E161:F161"/>
    <mergeCell ref="E152:F152"/>
    <mergeCell ref="E96:F96"/>
    <mergeCell ref="E97:F97"/>
    <mergeCell ref="E98:F98"/>
    <mergeCell ref="E178:F178"/>
    <mergeCell ref="E99:F99"/>
    <mergeCell ref="E100:F100"/>
    <mergeCell ref="B116:H116"/>
    <mergeCell ref="E117:F117"/>
    <mergeCell ref="E115:F115"/>
    <mergeCell ref="E109:F109"/>
    <mergeCell ref="B204:H204"/>
    <mergeCell ref="E182:F182"/>
    <mergeCell ref="E63:F63"/>
    <mergeCell ref="E64:F64"/>
    <mergeCell ref="B77:H77"/>
    <mergeCell ref="E91:F91"/>
    <mergeCell ref="E92:F92"/>
    <mergeCell ref="E103:F103"/>
    <mergeCell ref="E93:F93"/>
    <mergeCell ref="E94:F94"/>
    <mergeCell ref="E61:F61"/>
    <mergeCell ref="B176:H176"/>
    <mergeCell ref="E81:F81"/>
    <mergeCell ref="E82:F82"/>
    <mergeCell ref="E83:F83"/>
    <mergeCell ref="E70:F70"/>
    <mergeCell ref="E73:F73"/>
    <mergeCell ref="E88:F88"/>
    <mergeCell ref="E114:F114"/>
    <mergeCell ref="B95:H95"/>
    <mergeCell ref="B39:H39"/>
    <mergeCell ref="E28:F28"/>
    <mergeCell ref="E32:F32"/>
    <mergeCell ref="E34:F34"/>
    <mergeCell ref="E51:F51"/>
    <mergeCell ref="E60:F60"/>
    <mergeCell ref="E44:F44"/>
    <mergeCell ref="E40:F40"/>
    <mergeCell ref="E43:F43"/>
    <mergeCell ref="B50:H50"/>
    <mergeCell ref="E26:F26"/>
    <mergeCell ref="B49:H49"/>
    <mergeCell ref="B45:H45"/>
    <mergeCell ref="E37:F37"/>
    <mergeCell ref="E46:F46"/>
    <mergeCell ref="E47:F47"/>
    <mergeCell ref="E27:F27"/>
    <mergeCell ref="E33:F33"/>
    <mergeCell ref="E35:F35"/>
    <mergeCell ref="B36:H36"/>
    <mergeCell ref="E16:F16"/>
    <mergeCell ref="A7:H7"/>
    <mergeCell ref="E12:F12"/>
    <mergeCell ref="B9:H9"/>
    <mergeCell ref="B14:H14"/>
    <mergeCell ref="E29:F29"/>
    <mergeCell ref="E20:F20"/>
    <mergeCell ref="E21:F21"/>
    <mergeCell ref="E15:F15"/>
    <mergeCell ref="B22:H22"/>
    <mergeCell ref="A1:C1"/>
    <mergeCell ref="D1:H1"/>
    <mergeCell ref="A3:H3"/>
    <mergeCell ref="E10:F10"/>
    <mergeCell ref="E11:F11"/>
    <mergeCell ref="B13:H13"/>
    <mergeCell ref="A8:C8"/>
    <mergeCell ref="E17:F17"/>
    <mergeCell ref="E18:F18"/>
    <mergeCell ref="E41:F41"/>
    <mergeCell ref="E38:F38"/>
    <mergeCell ref="E24:F24"/>
    <mergeCell ref="E31:F31"/>
    <mergeCell ref="E19:F19"/>
    <mergeCell ref="B30:H30"/>
    <mergeCell ref="E23:F23"/>
    <mergeCell ref="E25:F25"/>
    <mergeCell ref="B42:H42"/>
    <mergeCell ref="B243:H243"/>
    <mergeCell ref="B187:H187"/>
    <mergeCell ref="E188:F188"/>
    <mergeCell ref="E189:F189"/>
    <mergeCell ref="E190:F190"/>
    <mergeCell ref="B191:H191"/>
    <mergeCell ref="E62:F62"/>
    <mergeCell ref="B59:H59"/>
    <mergeCell ref="B78:H78"/>
    <mergeCell ref="B71:H71"/>
    <mergeCell ref="E72:F72"/>
    <mergeCell ref="E192:F192"/>
    <mergeCell ref="E129:F129"/>
    <mergeCell ref="E130:F130"/>
    <mergeCell ref="B119:H119"/>
    <mergeCell ref="E120:F120"/>
    <mergeCell ref="E79:F79"/>
    <mergeCell ref="E80:F80"/>
    <mergeCell ref="E84:F84"/>
    <mergeCell ref="E124:F124"/>
    <mergeCell ref="E121:F121"/>
    <mergeCell ref="B113:H113"/>
    <mergeCell ref="E85:F85"/>
    <mergeCell ref="E86:F86"/>
    <mergeCell ref="B107:H107"/>
    <mergeCell ref="E108:F108"/>
    <mergeCell ref="E112:F112"/>
    <mergeCell ref="B87:H87"/>
    <mergeCell ref="E89:F89"/>
    <mergeCell ref="B215:H215"/>
    <mergeCell ref="E183:F183"/>
    <mergeCell ref="B128:H128"/>
    <mergeCell ref="E205:F205"/>
    <mergeCell ref="B131:H131"/>
    <mergeCell ref="E118:F118"/>
    <mergeCell ref="E132:F132"/>
    <mergeCell ref="E133:F133"/>
    <mergeCell ref="E140:F140"/>
    <mergeCell ref="E141:F141"/>
    <mergeCell ref="B74:H74"/>
    <mergeCell ref="E75:F75"/>
    <mergeCell ref="E76:F76"/>
    <mergeCell ref="E126:F126"/>
    <mergeCell ref="B101:H101"/>
    <mergeCell ref="E102:F102"/>
    <mergeCell ref="E104:F104"/>
    <mergeCell ref="E106:F106"/>
    <mergeCell ref="B122:H122"/>
    <mergeCell ref="E123:F123"/>
    <mergeCell ref="E197:F197"/>
    <mergeCell ref="E198:F198"/>
    <mergeCell ref="E200:F200"/>
    <mergeCell ref="E174:F174"/>
    <mergeCell ref="E175:F175"/>
    <mergeCell ref="E168:F168"/>
    <mergeCell ref="E169:F169"/>
    <mergeCell ref="E170:F170"/>
    <mergeCell ref="E173:F173"/>
    <mergeCell ref="E172:F17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1" r:id="rId2"/>
  <rowBreaks count="7" manualBreakCount="7">
    <brk id="35" max="7" man="1"/>
    <brk id="68" max="7" man="1"/>
    <brk id="100" max="7" man="1"/>
    <brk id="127" max="7" man="1"/>
    <brk id="158" max="7" man="1"/>
    <brk id="208" max="7" man="1"/>
    <brk id="230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07"/>
  <sheetViews>
    <sheetView showGridLines="0" showZeros="0" tabSelected="1" view="pageBreakPreview" zoomScale="115" zoomScaleSheetLayoutView="115" zoomScalePageLayoutView="0" workbookViewId="0" topLeftCell="A187">
      <selection activeCell="H203" sqref="H203"/>
    </sheetView>
  </sheetViews>
  <sheetFormatPr defaultColWidth="9.140625" defaultRowHeight="12.75"/>
  <cols>
    <col min="1" max="1" width="3.28125" style="1" customWidth="1"/>
    <col min="2" max="2" width="5.421875" style="1" bestFit="1" customWidth="1"/>
    <col min="3" max="3" width="12.140625" style="1" customWidth="1"/>
    <col min="4" max="4" width="13.7109375" style="1" customWidth="1"/>
    <col min="5" max="5" width="107.421875" style="1" customWidth="1"/>
    <col min="6" max="6" width="12.28125" style="1" customWidth="1"/>
    <col min="7" max="7" width="9.140625" style="1" customWidth="1"/>
    <col min="8" max="9" width="9.8515625" style="1" bestFit="1" customWidth="1"/>
    <col min="10" max="10" width="17.7109375" style="20" bestFit="1" customWidth="1"/>
    <col min="11" max="11" width="5.28125" style="1" customWidth="1"/>
    <col min="12" max="12" width="15.7109375" style="1" customWidth="1"/>
    <col min="13" max="13" width="11.7109375" style="1" bestFit="1" customWidth="1"/>
    <col min="14" max="14" width="8.00390625" style="1" customWidth="1"/>
    <col min="15" max="15" width="11.7109375" style="1" bestFit="1" customWidth="1"/>
    <col min="16" max="16" width="1.7109375" style="1" customWidth="1"/>
    <col min="17" max="17" width="11.7109375" style="1" customWidth="1"/>
    <col min="18" max="16384" width="9.140625" style="1" customWidth="1"/>
  </cols>
  <sheetData>
    <row r="1" spans="2:10" ht="60.75" customHeight="1">
      <c r="B1" s="170"/>
      <c r="C1" s="171"/>
      <c r="D1" s="171"/>
      <c r="E1" s="172"/>
      <c r="F1" s="172"/>
      <c r="G1" s="172"/>
      <c r="H1" s="172"/>
      <c r="I1" s="172"/>
      <c r="J1" s="173"/>
    </row>
    <row r="2" spans="2:10" ht="3.75" customHeight="1" thickBot="1">
      <c r="B2" s="381"/>
      <c r="C2" s="382"/>
      <c r="D2" s="382"/>
      <c r="E2" s="382"/>
      <c r="F2" s="382"/>
      <c r="G2" s="382"/>
      <c r="H2" s="382"/>
      <c r="I2" s="382"/>
      <c r="J2" s="383"/>
    </row>
    <row r="3" spans="2:10" ht="3.75" customHeight="1" thickBot="1">
      <c r="B3" s="174"/>
      <c r="C3" s="175"/>
      <c r="D3" s="175"/>
      <c r="E3" s="175"/>
      <c r="F3" s="175"/>
      <c r="G3" s="175"/>
      <c r="H3" s="175"/>
      <c r="I3" s="175"/>
      <c r="J3" s="176"/>
    </row>
    <row r="4" spans="2:10" ht="19.5" customHeight="1" thickBot="1">
      <c r="B4" s="384" t="s">
        <v>4</v>
      </c>
      <c r="C4" s="385"/>
      <c r="D4" s="385"/>
      <c r="E4" s="385"/>
      <c r="F4" s="385"/>
      <c r="G4" s="385"/>
      <c r="H4" s="385"/>
      <c r="I4" s="385"/>
      <c r="J4" s="386"/>
    </row>
    <row r="5" spans="2:10" ht="3.75" customHeight="1" thickBot="1">
      <c r="B5" s="177"/>
      <c r="C5" s="178"/>
      <c r="D5" s="178"/>
      <c r="E5" s="178"/>
      <c r="F5" s="178"/>
      <c r="G5" s="178"/>
      <c r="H5" s="178"/>
      <c r="I5" s="178"/>
      <c r="J5" s="179"/>
    </row>
    <row r="6" spans="2:10" ht="19.5" customHeight="1">
      <c r="B6" s="180" t="str">
        <f>'MEMORIAL DE CÁLCULO'!A5</f>
        <v>OBRA:  CONSTRUÇÃO DA USINA DE ASFALTO DE JANAÚBA</v>
      </c>
      <c r="C6" s="181"/>
      <c r="D6" s="181"/>
      <c r="E6" s="181"/>
      <c r="F6" s="181"/>
      <c r="G6" s="182"/>
      <c r="H6" s="183" t="s">
        <v>28</v>
      </c>
      <c r="I6" s="387">
        <v>44588</v>
      </c>
      <c r="J6" s="388"/>
    </row>
    <row r="7" spans="2:10" ht="19.5" customHeight="1">
      <c r="B7" s="184" t="str">
        <f>'MEMORIAL DE CÁLCULO'!A6</f>
        <v>LOCAL: AVENIDA DINAMARCA, Nº 30, BAIRRO BOA VISTA, JANAÚBA-MG</v>
      </c>
      <c r="C7" s="185"/>
      <c r="D7" s="185"/>
      <c r="E7" s="185"/>
      <c r="F7" s="185"/>
      <c r="G7" s="185"/>
      <c r="H7" s="186" t="s">
        <v>24</v>
      </c>
      <c r="I7" s="389">
        <f>BDI!F20</f>
        <v>0.2641</v>
      </c>
      <c r="J7" s="390"/>
    </row>
    <row r="8" spans="2:10" ht="3.75" customHeight="1" thickBot="1">
      <c r="B8" s="391"/>
      <c r="C8" s="392"/>
      <c r="D8" s="392"/>
      <c r="E8" s="392"/>
      <c r="F8" s="392"/>
      <c r="G8" s="392"/>
      <c r="H8" s="392"/>
      <c r="I8" s="392"/>
      <c r="J8" s="393"/>
    </row>
    <row r="9" spans="2:10" ht="39" thickBot="1">
      <c r="B9" s="187" t="s">
        <v>0</v>
      </c>
      <c r="C9" s="188" t="s">
        <v>22</v>
      </c>
      <c r="D9" s="189" t="s">
        <v>5</v>
      </c>
      <c r="E9" s="189" t="s">
        <v>1</v>
      </c>
      <c r="F9" s="189" t="s">
        <v>2</v>
      </c>
      <c r="G9" s="189" t="s">
        <v>3</v>
      </c>
      <c r="H9" s="190" t="s">
        <v>25</v>
      </c>
      <c r="I9" s="190" t="s">
        <v>26</v>
      </c>
      <c r="J9" s="191" t="s">
        <v>6</v>
      </c>
    </row>
    <row r="10" spans="2:10" ht="18.75" customHeight="1" thickBot="1">
      <c r="B10" s="114">
        <v>1</v>
      </c>
      <c r="C10" s="361" t="s">
        <v>55</v>
      </c>
      <c r="D10" s="362"/>
      <c r="E10" s="362"/>
      <c r="F10" s="362"/>
      <c r="G10" s="362"/>
      <c r="H10" s="206"/>
      <c r="I10" s="192"/>
      <c r="J10" s="193">
        <f>SUM(J11:J12)</f>
        <v>3732.83</v>
      </c>
    </row>
    <row r="11" spans="2:10" s="9" customFormat="1" ht="12.75">
      <c r="B11" s="194" t="s">
        <v>7</v>
      </c>
      <c r="C11" s="195" t="str">
        <f>'MEMORIAL DE CÁLCULO'!B11</f>
        <v>SINAPI - I</v>
      </c>
      <c r="D11" s="195">
        <f>'MEMORIAL DE CÁLCULO'!C11</f>
        <v>4813</v>
      </c>
      <c r="E11" s="196" t="str">
        <f>'MEMORIAL DE CÁLCULO'!D11</f>
        <v>PLACA DE OBRA (PARA CONSTRUCAO CIVIL) EM CHAPA GALVANIZADA *N. 22*, ADESIVADA, DE *2,0 X 1,125* M</v>
      </c>
      <c r="F11" s="197">
        <f>'MEMORIAL DE CÁLCULO'!G11</f>
        <v>2.25</v>
      </c>
      <c r="G11" s="197" t="str">
        <f>'MEMORIAL DE CÁLCULO'!H11</f>
        <v>m²</v>
      </c>
      <c r="H11" s="207">
        <v>480</v>
      </c>
      <c r="I11" s="197">
        <f>ROUND(H11*I$7,2)+H11</f>
        <v>606.77</v>
      </c>
      <c r="J11" s="198">
        <f>ROUND(I11*F11,2)</f>
        <v>1365.23</v>
      </c>
    </row>
    <row r="12" spans="2:10" s="9" customFormat="1" ht="23.25" thickBot="1">
      <c r="B12" s="194" t="s">
        <v>68</v>
      </c>
      <c r="C12" s="195" t="str">
        <f>'MEMORIAL DE CÁLCULO'!B12</f>
        <v>SINAPI</v>
      </c>
      <c r="D12" s="195">
        <f>'MEMORIAL DE CÁLCULO'!C12</f>
        <v>99059</v>
      </c>
      <c r="E12" s="196" t="str">
        <f>'MEMORIAL DE CÁLCULO'!D12</f>
        <v>LOCACAO CONVENCIONAL DE OBRA, UTILIZANDO GABARITO DE TÁBUAS CORRIDAS PONTALETADAS A CADA 2,00M - 2 UTILIZAÇÕES. AF_10/2018</v>
      </c>
      <c r="F12" s="197">
        <f>'MEMORIAL DE CÁLCULO'!G12</f>
        <v>30</v>
      </c>
      <c r="G12" s="197" t="str">
        <f>'MEMORIAL DE CÁLCULO'!H12</f>
        <v>m</v>
      </c>
      <c r="H12" s="207">
        <v>62.43</v>
      </c>
      <c r="I12" s="197">
        <f>ROUND(H12*I$7,2)+H12</f>
        <v>78.92</v>
      </c>
      <c r="J12" s="198">
        <f>ROUND(I12*F12,2)</f>
        <v>2367.6</v>
      </c>
    </row>
    <row r="13" spans="2:10" ht="18.75" customHeight="1" thickBot="1">
      <c r="B13" s="114">
        <v>2</v>
      </c>
      <c r="C13" s="361" t="s">
        <v>134</v>
      </c>
      <c r="D13" s="362"/>
      <c r="E13" s="362"/>
      <c r="F13" s="362"/>
      <c r="G13" s="362"/>
      <c r="H13" s="206"/>
      <c r="I13" s="192"/>
      <c r="J13" s="193">
        <f>J14+J21+J28+J33+J35+J37+J39</f>
        <v>212387.05</v>
      </c>
    </row>
    <row r="14" spans="2:10" ht="18.75" customHeight="1" thickBot="1">
      <c r="B14" s="199" t="s">
        <v>56</v>
      </c>
      <c r="C14" s="379" t="s">
        <v>72</v>
      </c>
      <c r="D14" s="380"/>
      <c r="E14" s="380"/>
      <c r="F14" s="380"/>
      <c r="G14" s="380"/>
      <c r="H14" s="208"/>
      <c r="I14" s="205"/>
      <c r="J14" s="200">
        <f>SUM(J15:J20)</f>
        <v>41209.25</v>
      </c>
    </row>
    <row r="15" spans="2:10" s="9" customFormat="1" ht="12.75">
      <c r="B15" s="194" t="str">
        <f>'MEMORIAL DE CÁLCULO'!A16</f>
        <v>2.1.1</v>
      </c>
      <c r="C15" s="195" t="str">
        <f>'MEMORIAL DE CÁLCULO'!B16</f>
        <v>SETOP</v>
      </c>
      <c r="D15" s="195" t="str">
        <f>'MEMORIAL DE CÁLCULO'!C16</f>
        <v>RO-40211</v>
      </c>
      <c r="E15" s="196" t="str">
        <f>'MEMORIAL DE CÁLCULO'!D16</f>
        <v>ESCAVAÇÃO MANUAL DE VALAS EM SOLO, COM ALTURA DE 0 A 1,50 M</v>
      </c>
      <c r="F15" s="197">
        <f>'MEMORIAL DE CÁLCULO'!G16</f>
        <v>78.62</v>
      </c>
      <c r="G15" s="197" t="str">
        <f>'MEMORIAL DE CÁLCULO'!H16</f>
        <v>m³</v>
      </c>
      <c r="H15" s="207">
        <v>49.57</v>
      </c>
      <c r="I15" s="197">
        <f aca="true" t="shared" si="0" ref="I15:I26">ROUND(H15*I$7,2)+H15</f>
        <v>62.66</v>
      </c>
      <c r="J15" s="198">
        <f aca="true" t="shared" si="1" ref="J15:J20">ROUND(I15*F15,2)</f>
        <v>4926.33</v>
      </c>
    </row>
    <row r="16" spans="2:10" s="9" customFormat="1" ht="12.75" customHeight="1">
      <c r="B16" s="194" t="str">
        <f>'MEMORIAL DE CÁLCULO'!A17</f>
        <v>2.1.2</v>
      </c>
      <c r="C16" s="201" t="str">
        <f>'MEMORIAL DE CÁLCULO'!B17</f>
        <v>SETOP</v>
      </c>
      <c r="D16" s="201" t="str">
        <f>'MEMORIAL DE CÁLCULO'!C17</f>
        <v>RO-40239</v>
      </c>
      <c r="E16" s="202" t="str">
        <f>'MEMORIAL DE CÁLCULO'!D17</f>
        <v>APILOAMENTO DE FUNDO DE VALAS</v>
      </c>
      <c r="F16" s="197">
        <f>'MEMORIAL DE CÁLCULO'!G17</f>
        <v>65.52</v>
      </c>
      <c r="G16" s="197" t="str">
        <f>'MEMORIAL DE CÁLCULO'!H17</f>
        <v>m²</v>
      </c>
      <c r="H16" s="209">
        <v>3.12</v>
      </c>
      <c r="I16" s="197">
        <f t="shared" si="0"/>
        <v>3.94</v>
      </c>
      <c r="J16" s="198">
        <f t="shared" si="1"/>
        <v>258.15</v>
      </c>
    </row>
    <row r="17" spans="2:10" s="9" customFormat="1" ht="12.75">
      <c r="B17" s="194" t="str">
        <f>'MEMORIAL DE CÁLCULO'!A18</f>
        <v>2.1.3</v>
      </c>
      <c r="C17" s="201" t="str">
        <f>'MEMORIAL DE CÁLCULO'!B18</f>
        <v>SINAPI</v>
      </c>
      <c r="D17" s="201" t="str">
        <f>'MEMORIAL DE CÁLCULO'!C18</f>
        <v>96617 </v>
      </c>
      <c r="E17" s="202" t="str">
        <f>'MEMORIAL DE CÁLCULO'!D18</f>
        <v>LASTRO DE CONCRETO MAGRO, APLICADO EM BLOCOS DE COROAMENTO OU SAPATAS, ESPESSURA DE 3 CM. AF_08/2017</v>
      </c>
      <c r="F17" s="197">
        <f>'MEMORIAL DE CÁLCULO'!G18</f>
        <v>65.52</v>
      </c>
      <c r="G17" s="197" t="str">
        <f>'MEMORIAL DE CÁLCULO'!H18</f>
        <v>m²</v>
      </c>
      <c r="H17" s="209">
        <v>15.3</v>
      </c>
      <c r="I17" s="197">
        <f>ROUND(H17*I$7,2)+H17</f>
        <v>19.34</v>
      </c>
      <c r="J17" s="198">
        <f t="shared" si="1"/>
        <v>1267.16</v>
      </c>
    </row>
    <row r="18" spans="2:10" s="9" customFormat="1" ht="12.75">
      <c r="B18" s="194" t="str">
        <f>'MEMORIAL DE CÁLCULO'!A19</f>
        <v>2.1.4</v>
      </c>
      <c r="C18" s="201" t="str">
        <f>'MEMORIAL DE CÁLCULO'!B19</f>
        <v>SETOP</v>
      </c>
      <c r="D18" s="201" t="str">
        <f>'MEMORIAL DE CÁLCULO'!C19</f>
        <v>ED-51120</v>
      </c>
      <c r="E18" s="202" t="str">
        <f>'MEMORIAL DE CÁLCULO'!D19</f>
        <v>REATERRO MANUAL DE VALA</v>
      </c>
      <c r="F18" s="197">
        <f>'MEMORIAL DE CÁLCULO'!G19</f>
        <v>39.29</v>
      </c>
      <c r="G18" s="197" t="str">
        <f>'MEMORIAL DE CÁLCULO'!H19</f>
        <v>m³</v>
      </c>
      <c r="H18" s="209">
        <v>50.72</v>
      </c>
      <c r="I18" s="197">
        <f>ROUND(H18*I$7,2)+H18</f>
        <v>64.12</v>
      </c>
      <c r="J18" s="198">
        <f t="shared" si="1"/>
        <v>2519.27</v>
      </c>
    </row>
    <row r="19" spans="2:10" s="9" customFormat="1" ht="12.75">
      <c r="B19" s="194" t="str">
        <f>'MEMORIAL DE CÁLCULO'!A20</f>
        <v>2.1.5</v>
      </c>
      <c r="C19" s="201" t="str">
        <f>'MEMORIAL DE CÁLCULO'!B20</f>
        <v>SETOP</v>
      </c>
      <c r="D19" s="201" t="str">
        <f>'MEMORIAL DE CÁLCULO'!C20</f>
        <v>ED-48295</v>
      </c>
      <c r="E19" s="202" t="str">
        <f>'MEMORIAL DE CÁLCULO'!D20</f>
        <v>CORTE, DOBRA E MONTAGEM DE AÇO CA-50 DIÂMETRO (6,3MM A 12,5MM)</v>
      </c>
      <c r="F19" s="197">
        <f>'MEMORIAL DE CÁLCULO'!G20</f>
        <v>381.6</v>
      </c>
      <c r="G19" s="197" t="str">
        <f>'MEMORIAL DE CÁLCULO'!H20</f>
        <v>kg</v>
      </c>
      <c r="H19" s="209">
        <v>12.13</v>
      </c>
      <c r="I19" s="197">
        <f>ROUND(H19*I$7,2)+H19</f>
        <v>15.33</v>
      </c>
      <c r="J19" s="198">
        <f t="shared" si="1"/>
        <v>5849.93</v>
      </c>
    </row>
    <row r="20" spans="2:10" s="9" customFormat="1" ht="12.75" customHeight="1" thickBot="1">
      <c r="B20" s="194" t="str">
        <f>'MEMORIAL DE CÁLCULO'!A21</f>
        <v>2.1.6</v>
      </c>
      <c r="C20" s="201" t="str">
        <f>'MEMORIAL DE CÁLCULO'!B21</f>
        <v>SETOP</v>
      </c>
      <c r="D20" s="201" t="str">
        <f>'MEMORIAL DE CÁLCULO'!C21</f>
        <v>ED-49618</v>
      </c>
      <c r="E20" s="202" t="str">
        <f>'MEMORIAL DE CÁLCULO'!D21</f>
        <v>FORNECIMENTO DE CONCRETO ESTRUTURAL, PREPARADO EM OBRA, COM FCK 20 MPA, INCLUSIVE LANÇAMENTO, ADENSAMENTO E ACABAMENTO</v>
      </c>
      <c r="F20" s="197">
        <f>'MEMORIAL DE CÁLCULO'!G21</f>
        <v>39.31</v>
      </c>
      <c r="G20" s="197" t="str">
        <f>'MEMORIAL DE CÁLCULO'!H21</f>
        <v>m³</v>
      </c>
      <c r="H20" s="209">
        <v>531.04</v>
      </c>
      <c r="I20" s="197">
        <f t="shared" si="0"/>
        <v>671.29</v>
      </c>
      <c r="J20" s="198">
        <f t="shared" si="1"/>
        <v>26388.41</v>
      </c>
    </row>
    <row r="21" spans="2:10" ht="18.75" customHeight="1" thickBot="1">
      <c r="B21" s="199" t="s">
        <v>57</v>
      </c>
      <c r="C21" s="379" t="s">
        <v>88</v>
      </c>
      <c r="D21" s="380"/>
      <c r="E21" s="380"/>
      <c r="F21" s="380"/>
      <c r="G21" s="380"/>
      <c r="H21" s="208"/>
      <c r="I21" s="205"/>
      <c r="J21" s="200">
        <f>SUM(J22:J27)</f>
        <v>31938.03</v>
      </c>
    </row>
    <row r="22" spans="2:10" s="9" customFormat="1" ht="12.75">
      <c r="B22" s="194" t="str">
        <f>'MEMORIAL DE CÁLCULO'!A24</f>
        <v>2.2.1</v>
      </c>
      <c r="C22" s="195" t="str">
        <f>'MEMORIAL DE CÁLCULO'!B24</f>
        <v>SETOP</v>
      </c>
      <c r="D22" s="195" t="str">
        <f>'MEMORIAL DE CÁLCULO'!C24</f>
        <v>RO-40211</v>
      </c>
      <c r="E22" s="196" t="str">
        <f>'MEMORIAL DE CÁLCULO'!D24</f>
        <v>ESCAVAÇÃO MANUAL DE VALAS EM SOLO, COM ALTURA DE 0 A 1,50 M</v>
      </c>
      <c r="F22" s="197">
        <f>'MEMORIAL DE CÁLCULO'!G24</f>
        <v>3.7</v>
      </c>
      <c r="G22" s="197" t="str">
        <f>'MEMORIAL DE CÁLCULO'!H24</f>
        <v>m³</v>
      </c>
      <c r="H22" s="207">
        <v>49.57</v>
      </c>
      <c r="I22" s="197">
        <f t="shared" si="0"/>
        <v>62.66</v>
      </c>
      <c r="J22" s="198">
        <f aca="true" t="shared" si="2" ref="J22:J27">ROUND(I22*F22,2)</f>
        <v>231.84</v>
      </c>
    </row>
    <row r="23" spans="2:10" s="9" customFormat="1" ht="12.75">
      <c r="B23" s="194" t="str">
        <f>'MEMORIAL DE CÁLCULO'!A25</f>
        <v>2.2.2</v>
      </c>
      <c r="C23" s="195" t="str">
        <f>'MEMORIAL DE CÁLCULO'!B25</f>
        <v>SINAPI</v>
      </c>
      <c r="D23" s="195">
        <f>'MEMORIAL DE CÁLCULO'!C25</f>
        <v>101619</v>
      </c>
      <c r="E23" s="196" t="str">
        <f>'MEMORIAL DE CÁLCULO'!D25</f>
        <v>PREPARO DE FUNDO DE VALA COM LARGURA MENOR QUE 1,5 M, COM CAMADA DE BRITA, LANÇAMENTO MANUAL. AF_08/2020</v>
      </c>
      <c r="F23" s="197">
        <f>'MEMORIAL DE CÁLCULO'!G25</f>
        <v>3.7</v>
      </c>
      <c r="G23" s="197" t="str">
        <f>'MEMORIAL DE CÁLCULO'!H25</f>
        <v>m³</v>
      </c>
      <c r="H23" s="209">
        <v>227.07</v>
      </c>
      <c r="I23" s="197">
        <f t="shared" si="0"/>
        <v>287.04</v>
      </c>
      <c r="J23" s="198">
        <f t="shared" si="2"/>
        <v>1062.05</v>
      </c>
    </row>
    <row r="24" spans="2:10" s="9" customFormat="1" ht="12.75">
      <c r="B24" s="194" t="str">
        <f>'MEMORIAL DE CÁLCULO'!A26</f>
        <v>2.2.3</v>
      </c>
      <c r="C24" s="195" t="str">
        <f>'MEMORIAL DE CÁLCULO'!B26</f>
        <v>SETOP</v>
      </c>
      <c r="D24" s="195" t="str">
        <f>'MEMORIAL DE CÁLCULO'!C26</f>
        <v>ED-48295</v>
      </c>
      <c r="E24" s="196" t="str">
        <f>'MEMORIAL DE CÁLCULO'!D26</f>
        <v>CORTE, DOBRA E MONTAGEM DE AÇO CA-50 DIÂMETRO (6,3MM A 12,5MM)</v>
      </c>
      <c r="F24" s="197">
        <f>'MEMORIAL DE CÁLCULO'!G26</f>
        <v>834.43</v>
      </c>
      <c r="G24" s="197" t="str">
        <f>'MEMORIAL DE CÁLCULO'!H26</f>
        <v>kg</v>
      </c>
      <c r="H24" s="209">
        <v>12.13</v>
      </c>
      <c r="I24" s="197">
        <f t="shared" si="0"/>
        <v>15.33</v>
      </c>
      <c r="J24" s="198">
        <f t="shared" si="2"/>
        <v>12791.81</v>
      </c>
    </row>
    <row r="25" spans="2:10" s="9" customFormat="1" ht="12.75">
      <c r="B25" s="194" t="str">
        <f>'MEMORIAL DE CÁLCULO'!A27</f>
        <v>2.2.4</v>
      </c>
      <c r="C25" s="195" t="str">
        <f>'MEMORIAL DE CÁLCULO'!B27</f>
        <v>SETOP</v>
      </c>
      <c r="D25" s="195" t="str">
        <f>'MEMORIAL DE CÁLCULO'!C27</f>
        <v>ED-48297</v>
      </c>
      <c r="E25" s="196" t="str">
        <f>'MEMORIAL DE CÁLCULO'!D27</f>
        <v>CORTE, DOBRA E MONTAGEM DE AÇO CA-60 DIÂMETRO (4,2MM A 5,0MM)</v>
      </c>
      <c r="F25" s="197">
        <f>'MEMORIAL DE CÁLCULO'!G27</f>
        <v>281.95</v>
      </c>
      <c r="G25" s="197" t="str">
        <f>'MEMORIAL DE CÁLCULO'!H27</f>
        <v>kg</v>
      </c>
      <c r="H25" s="209">
        <v>13.33</v>
      </c>
      <c r="I25" s="197">
        <f t="shared" si="0"/>
        <v>16.85</v>
      </c>
      <c r="J25" s="198">
        <f t="shared" si="2"/>
        <v>4750.86</v>
      </c>
    </row>
    <row r="26" spans="2:16" s="9" customFormat="1" ht="12.75" customHeight="1">
      <c r="B26" s="194" t="str">
        <f>'MEMORIAL DE CÁLCULO'!A28</f>
        <v>2.2.5</v>
      </c>
      <c r="C26" s="195" t="str">
        <f>'MEMORIAL DE CÁLCULO'!B28</f>
        <v>SETOP</v>
      </c>
      <c r="D26" s="195" t="str">
        <f>'MEMORIAL DE CÁLCULO'!C28</f>
        <v>ED-49618</v>
      </c>
      <c r="E26" s="196" t="str">
        <f>'MEMORIAL DE CÁLCULO'!D28</f>
        <v>FORNECIMENTO DE CONCRETO ESTRUTURAL, PREPARADO EM OBRA, COM FCK 20 MPA, INCLUSIVE LANÇAMENTO, ADENSAMENTO E ACABAMENTO</v>
      </c>
      <c r="F26" s="197">
        <f>'MEMORIAL DE CÁLCULO'!G28</f>
        <v>19.22</v>
      </c>
      <c r="G26" s="197" t="str">
        <f>'MEMORIAL DE CÁLCULO'!H28</f>
        <v>m³</v>
      </c>
      <c r="H26" s="209">
        <v>531.04</v>
      </c>
      <c r="I26" s="197">
        <f t="shared" si="0"/>
        <v>671.29</v>
      </c>
      <c r="J26" s="198">
        <f t="shared" si="2"/>
        <v>12902.19</v>
      </c>
      <c r="L26" s="10"/>
      <c r="M26" s="10"/>
      <c r="N26" s="10"/>
      <c r="O26" s="10"/>
      <c r="P26" s="10"/>
    </row>
    <row r="27" spans="2:16" s="9" customFormat="1" ht="13.5" thickBot="1">
      <c r="B27" s="194" t="str">
        <f>'MEMORIAL DE CÁLCULO'!A29</f>
        <v>2.2.6</v>
      </c>
      <c r="C27" s="195" t="str">
        <f>'MEMORIAL DE CÁLCULO'!B29</f>
        <v>SETOP</v>
      </c>
      <c r="D27" s="195" t="str">
        <f>'MEMORIAL DE CÁLCULO'!C29</f>
        <v>ED-8471</v>
      </c>
      <c r="E27" s="196" t="str">
        <f>'MEMORIAL DE CÁLCULO'!D29</f>
        <v>FORMA E DESFORMA DE TÁBUA E SARRAFO, REAPROVEITAMENTO (5X), EXCLUSIVE ESCORAMENTO</v>
      </c>
      <c r="F27" s="197">
        <f>'MEMORIAL DE CÁLCULO'!G29</f>
        <v>4.23</v>
      </c>
      <c r="G27" s="197" t="str">
        <f>'MEMORIAL DE CÁLCULO'!H29</f>
        <v>m²</v>
      </c>
      <c r="H27" s="209">
        <v>37.27</v>
      </c>
      <c r="I27" s="197">
        <f>ROUND(H27*I$7,2)+H27</f>
        <v>47.11</v>
      </c>
      <c r="J27" s="198">
        <f t="shared" si="2"/>
        <v>199.28</v>
      </c>
      <c r="L27" s="10"/>
      <c r="M27" s="10"/>
      <c r="N27" s="10"/>
      <c r="O27" s="10"/>
      <c r="P27" s="10"/>
    </row>
    <row r="28" spans="2:10" ht="18.75" customHeight="1" thickBot="1">
      <c r="B28" s="199" t="s">
        <v>58</v>
      </c>
      <c r="C28" s="379" t="s">
        <v>91</v>
      </c>
      <c r="D28" s="380"/>
      <c r="E28" s="380"/>
      <c r="F28" s="380"/>
      <c r="G28" s="380"/>
      <c r="H28" s="208"/>
      <c r="I28" s="205"/>
      <c r="J28" s="200">
        <f>SUM(J29:J32)</f>
        <v>44540.66</v>
      </c>
    </row>
    <row r="29" spans="2:10" s="9" customFormat="1" ht="12.75">
      <c r="B29" s="194" t="str">
        <f>'MEMORIAL DE CÁLCULO'!A32</f>
        <v>2.3.1</v>
      </c>
      <c r="C29" s="195" t="str">
        <f>'MEMORIAL DE CÁLCULO'!B32</f>
        <v>SETOP</v>
      </c>
      <c r="D29" s="195" t="str">
        <f>'MEMORIAL DE CÁLCULO'!C32</f>
        <v>ED-48295</v>
      </c>
      <c r="E29" s="196" t="str">
        <f>'MEMORIAL DE CÁLCULO'!D32</f>
        <v>CORTE, DOBRA E MONTAGEM DE AÇO CA-50 DIÂMETRO (6,3MM A 12,5MM)</v>
      </c>
      <c r="F29" s="197">
        <f>'MEMORIAL DE CÁLCULO'!G32</f>
        <v>1560</v>
      </c>
      <c r="G29" s="197" t="str">
        <f>'MEMORIAL DE CÁLCULO'!H32</f>
        <v>kg</v>
      </c>
      <c r="H29" s="209">
        <v>12.13</v>
      </c>
      <c r="I29" s="197">
        <f>ROUND(H29*I$7,2)+H29</f>
        <v>15.33</v>
      </c>
      <c r="J29" s="198">
        <f>ROUND(I29*F29,2)</f>
        <v>23914.8</v>
      </c>
    </row>
    <row r="30" spans="2:10" s="9" customFormat="1" ht="12.75">
      <c r="B30" s="194" t="str">
        <f>'MEMORIAL DE CÁLCULO'!A33</f>
        <v>2.3.2</v>
      </c>
      <c r="C30" s="195" t="str">
        <f>'MEMORIAL DE CÁLCULO'!B33</f>
        <v>SETOP</v>
      </c>
      <c r="D30" s="195" t="str">
        <f>'MEMORIAL DE CÁLCULO'!C33</f>
        <v>ED-48297</v>
      </c>
      <c r="E30" s="196" t="str">
        <f>'MEMORIAL DE CÁLCULO'!D33</f>
        <v>CORTE, DOBRA E MONTAGEM DE AÇO CA-60 DIÂMETRO (4,2MM A 5,0MM)</v>
      </c>
      <c r="F30" s="197">
        <f>'MEMORIAL DE CÁLCULO'!G33</f>
        <v>546</v>
      </c>
      <c r="G30" s="197" t="str">
        <f>'MEMORIAL DE CÁLCULO'!H33</f>
        <v>kg</v>
      </c>
      <c r="H30" s="209">
        <v>13.33</v>
      </c>
      <c r="I30" s="197">
        <f>ROUND(H30*I$7,2)+H30</f>
        <v>16.85</v>
      </c>
      <c r="J30" s="198">
        <f>ROUND(I30*F30,2)</f>
        <v>9200.1</v>
      </c>
    </row>
    <row r="31" spans="2:10" s="9" customFormat="1" ht="12.75" customHeight="1">
      <c r="B31" s="194" t="str">
        <f>'MEMORIAL DE CÁLCULO'!A34</f>
        <v>2.3.3</v>
      </c>
      <c r="C31" s="195" t="str">
        <f>'MEMORIAL DE CÁLCULO'!B34</f>
        <v>SETOP</v>
      </c>
      <c r="D31" s="195" t="str">
        <f>'MEMORIAL DE CÁLCULO'!C34</f>
        <v>ED-49618</v>
      </c>
      <c r="E31" s="196" t="str">
        <f>'MEMORIAL DE CÁLCULO'!D34</f>
        <v>FORNECIMENTO DE CONCRETO ESTRUTURAL, PREPARADO EM OBRA, COM FCK 20 MPA, INCLUSIVE LANÇAMENTO, ADENSAMENTO E ACABAMENTO</v>
      </c>
      <c r="F31" s="197">
        <f>'MEMORIAL DE CÁLCULO'!G34</f>
        <v>15.33</v>
      </c>
      <c r="G31" s="197" t="str">
        <f>'MEMORIAL DE CÁLCULO'!H34</f>
        <v>m³</v>
      </c>
      <c r="H31" s="209">
        <v>531.04</v>
      </c>
      <c r="I31" s="197">
        <f>ROUND(H31*I$7,2)+H31</f>
        <v>671.29</v>
      </c>
      <c r="J31" s="198">
        <f>ROUND(I31*F31,2)</f>
        <v>10290.88</v>
      </c>
    </row>
    <row r="32" spans="2:10" s="9" customFormat="1" ht="13.5" thickBot="1">
      <c r="B32" s="194" t="str">
        <f>'MEMORIAL DE CÁLCULO'!A35</f>
        <v>2.3.4</v>
      </c>
      <c r="C32" s="195" t="str">
        <f>'MEMORIAL DE CÁLCULO'!B35</f>
        <v>SETOP</v>
      </c>
      <c r="D32" s="195" t="str">
        <f>'MEMORIAL DE CÁLCULO'!C35</f>
        <v>ED-8471</v>
      </c>
      <c r="E32" s="196" t="str">
        <f>'MEMORIAL DE CÁLCULO'!D35</f>
        <v>FORMA E DESFORMA DE TÁBUA E SARRAFO, REAPROVEITAMENTO (5X), EXCLUSIVE ESCORAMENTO</v>
      </c>
      <c r="F32" s="197">
        <f>'MEMORIAL DE CÁLCULO'!G35</f>
        <v>24.09</v>
      </c>
      <c r="G32" s="197" t="str">
        <f>'MEMORIAL DE CÁLCULO'!H35</f>
        <v>m²</v>
      </c>
      <c r="H32" s="209">
        <v>37.27</v>
      </c>
      <c r="I32" s="197">
        <f>ROUND(H32*I$7,2)+H32</f>
        <v>47.11</v>
      </c>
      <c r="J32" s="198">
        <f>ROUND(I32*F32,2)</f>
        <v>1134.88</v>
      </c>
    </row>
    <row r="33" spans="2:10" ht="18.75" customHeight="1" thickBot="1">
      <c r="B33" s="199" t="s">
        <v>75</v>
      </c>
      <c r="C33" s="379" t="s">
        <v>159</v>
      </c>
      <c r="D33" s="380"/>
      <c r="E33" s="380"/>
      <c r="F33" s="380"/>
      <c r="G33" s="380"/>
      <c r="H33" s="208"/>
      <c r="I33" s="205"/>
      <c r="J33" s="200">
        <f>SUM(J34:J34)</f>
        <v>20768.67</v>
      </c>
    </row>
    <row r="34" spans="2:10" s="9" customFormat="1" ht="13.5" thickBot="1">
      <c r="B34" s="194" t="s">
        <v>152</v>
      </c>
      <c r="C34" s="195" t="str">
        <f>'MEMORIAL DE CÁLCULO'!B38</f>
        <v>SINAPI</v>
      </c>
      <c r="D34" s="195">
        <f>'MEMORIAL DE CÁLCULO'!C38</f>
        <v>93205</v>
      </c>
      <c r="E34" s="196" t="str">
        <f>'MEMORIAL DE CÁLCULO'!D38</f>
        <v>CINTA DE AMARRAÇÃO DE ALVENARIA MOLDADA IN LOCO COM UTILIZAÇÃO DE BLOCOS CANALETA. AF_03/2016</v>
      </c>
      <c r="F34" s="197">
        <f>'MEMORIAL DE CÁLCULO'!G38</f>
        <v>516.12</v>
      </c>
      <c r="G34" s="197" t="s">
        <v>11</v>
      </c>
      <c r="H34" s="209">
        <v>31.83</v>
      </c>
      <c r="I34" s="197">
        <f>ROUND(H34*I$7,2)+H34</f>
        <v>40.24</v>
      </c>
      <c r="J34" s="198">
        <f>ROUND(I34*F34,2)</f>
        <v>20768.67</v>
      </c>
    </row>
    <row r="35" spans="2:10" ht="18.75" customHeight="1" thickBot="1">
      <c r="B35" s="199" t="s">
        <v>76</v>
      </c>
      <c r="C35" s="379" t="s">
        <v>94</v>
      </c>
      <c r="D35" s="380"/>
      <c r="E35" s="380"/>
      <c r="F35" s="380"/>
      <c r="G35" s="380"/>
      <c r="H35" s="208"/>
      <c r="I35" s="205"/>
      <c r="J35" s="200">
        <f>SUM(J36:J36)</f>
        <v>62506.93</v>
      </c>
    </row>
    <row r="36" spans="2:10" s="9" customFormat="1" ht="12.75" customHeight="1" thickBot="1">
      <c r="B36" s="194" t="s">
        <v>154</v>
      </c>
      <c r="C36" s="195" t="str">
        <f>'MEMORIAL DE CÁLCULO'!B41</f>
        <v>SETOP</v>
      </c>
      <c r="D36" s="195" t="str">
        <f>'MEMORIAL DE CÁLCULO'!C41</f>
        <v>ED-48195</v>
      </c>
      <c r="E36" s="196" t="str">
        <f>'MEMORIAL DE CÁLCULO'!D41</f>
        <v>ALVENARIA DE VEDAÇÃO COM BLOCO DE CONCRETO, ESP. 14CM, COM ACABAMENTO APARENTE, INCLUSIVE ARGAMASSA PARA ASSENTAMENTO</v>
      </c>
      <c r="F36" s="197">
        <f>'MEMORIAL DE CÁLCULO'!G41</f>
        <v>1098.54</v>
      </c>
      <c r="G36" s="197" t="str">
        <f>'MEMORIAL DE CÁLCULO'!H41</f>
        <v>m²</v>
      </c>
      <c r="H36" s="209">
        <v>45.01</v>
      </c>
      <c r="I36" s="197">
        <f>ROUND(H36*I$7,2)+H36</f>
        <v>56.9</v>
      </c>
      <c r="J36" s="198">
        <f>ROUND(I36*F36,2)</f>
        <v>62506.93</v>
      </c>
    </row>
    <row r="37" spans="2:10" ht="18.75" customHeight="1" thickBot="1">
      <c r="B37" s="199" t="s">
        <v>82</v>
      </c>
      <c r="C37" s="379" t="s">
        <v>96</v>
      </c>
      <c r="D37" s="380"/>
      <c r="E37" s="380"/>
      <c r="F37" s="380"/>
      <c r="G37" s="380"/>
      <c r="H37" s="208"/>
      <c r="I37" s="205"/>
      <c r="J37" s="200">
        <f>SUM(J38:J38)</f>
        <v>2015.42</v>
      </c>
    </row>
    <row r="38" spans="2:10" s="9" customFormat="1" ht="13.5" thickBot="1">
      <c r="B38" s="194" t="s">
        <v>155</v>
      </c>
      <c r="C38" s="195" t="str">
        <f>'MEMORIAL DE CÁLCULO'!B44</f>
        <v>SETOP</v>
      </c>
      <c r="D38" s="195" t="str">
        <f>'MEMORIAL DE CÁLCULO'!C44</f>
        <v>ED-50497</v>
      </c>
      <c r="E38" s="196" t="str">
        <f>'MEMORIAL DE CÁLCULO'!D44</f>
        <v>PINTURA ESMALTE EM ESTRUTURA METÁLICA, DUAS (2) DEMÃOS, INCLUSIVE UMA (1) DEMÃO FUNDO ANTICORROSIVO</v>
      </c>
      <c r="F38" s="197">
        <f>'MEMORIAL DE CÁLCULO'!G44</f>
        <v>57.6</v>
      </c>
      <c r="G38" s="197" t="str">
        <f>'MEMORIAL DE CÁLCULO'!H44</f>
        <v>m²</v>
      </c>
      <c r="H38" s="209">
        <v>27.68</v>
      </c>
      <c r="I38" s="197">
        <f>ROUND(H38*I$7,2)+H38</f>
        <v>34.99</v>
      </c>
      <c r="J38" s="198">
        <f>ROUND(I38*F38,2)</f>
        <v>2015.42</v>
      </c>
    </row>
    <row r="39" spans="2:10" ht="18" customHeight="1" thickBot="1">
      <c r="B39" s="199" t="s">
        <v>156</v>
      </c>
      <c r="C39" s="379" t="s">
        <v>129</v>
      </c>
      <c r="D39" s="380"/>
      <c r="E39" s="380"/>
      <c r="F39" s="380"/>
      <c r="G39" s="380"/>
      <c r="H39" s="208"/>
      <c r="I39" s="205"/>
      <c r="J39" s="200">
        <f>SUM(J40:J41)</f>
        <v>9408.09</v>
      </c>
    </row>
    <row r="40" spans="2:10" s="9" customFormat="1" ht="12.75">
      <c r="B40" s="194" t="s">
        <v>157</v>
      </c>
      <c r="C40" s="195" t="str">
        <f>'MEMORIAL DE CÁLCULO'!B47</f>
        <v>SETOP</v>
      </c>
      <c r="D40" s="195" t="str">
        <f>'MEMORIAL DE CÁLCULO'!C47</f>
        <v>ED-50983</v>
      </c>
      <c r="E40" s="196" t="str">
        <f>'MEMORIAL DE CÁLCULO'!D47</f>
        <v>PORTÃO DE GRADE COLOCADO COM CADEADO</v>
      </c>
      <c r="F40" s="197">
        <f>'MEMORIAL DE CÁLCULO'!G47</f>
        <v>14.4</v>
      </c>
      <c r="G40" s="197" t="str">
        <f>'MEMORIAL DE CÁLCULO'!H47</f>
        <v>m²</v>
      </c>
      <c r="H40" s="209">
        <v>248.42</v>
      </c>
      <c r="I40" s="197">
        <f>ROUND(H40*I$7,2)+H40</f>
        <v>314.03</v>
      </c>
      <c r="J40" s="198">
        <f>ROUND(I40*F40,2)</f>
        <v>4522.03</v>
      </c>
    </row>
    <row r="41" spans="2:10" s="9" customFormat="1" ht="13.5" thickBot="1">
      <c r="B41" s="194" t="s">
        <v>466</v>
      </c>
      <c r="C41" s="195" t="str">
        <f>'MEMORIAL DE CÁLCULO'!B48</f>
        <v>SETOP</v>
      </c>
      <c r="D41" s="195" t="str">
        <f>'MEMORIAL DE CÁLCULO'!C48</f>
        <v>ED-50982</v>
      </c>
      <c r="E41" s="196" t="str">
        <f>'MEMORIAL DE CÁLCULO'!D48</f>
        <v>PORTÃO DE FERRO PADRÃO, EM CHAPA (TIPO LAMBRI), COLOCADO COM CADEADO</v>
      </c>
      <c r="F41" s="197">
        <f>'MEMORIAL DE CÁLCULO'!G48</f>
        <v>14.4</v>
      </c>
      <c r="G41" s="197" t="str">
        <f>'MEMORIAL DE CÁLCULO'!H48</f>
        <v>m²</v>
      </c>
      <c r="H41" s="209">
        <v>268.42</v>
      </c>
      <c r="I41" s="197">
        <f>ROUND(H41*I$7,2)+H41</f>
        <v>339.31</v>
      </c>
      <c r="J41" s="198">
        <f>ROUND(I41*F41,2)</f>
        <v>4886.06</v>
      </c>
    </row>
    <row r="42" spans="2:10" ht="18.75" customHeight="1" thickBot="1">
      <c r="B42" s="114">
        <v>3</v>
      </c>
      <c r="C42" s="361" t="s">
        <v>178</v>
      </c>
      <c r="D42" s="362"/>
      <c r="E42" s="362"/>
      <c r="F42" s="362"/>
      <c r="G42" s="362"/>
      <c r="H42" s="206"/>
      <c r="I42" s="192"/>
      <c r="J42" s="193">
        <f>J43+J51+J56+J61+J63</f>
        <v>19197.99</v>
      </c>
    </row>
    <row r="43" spans="2:10" ht="18.75" customHeight="1" thickBot="1">
      <c r="B43" s="199" t="s">
        <v>179</v>
      </c>
      <c r="C43" s="379" t="s">
        <v>231</v>
      </c>
      <c r="D43" s="380"/>
      <c r="E43" s="380"/>
      <c r="F43" s="380"/>
      <c r="G43" s="380"/>
      <c r="H43" s="208"/>
      <c r="I43" s="205"/>
      <c r="J43" s="200">
        <f>SUM(J44:J50)</f>
        <v>8153.45</v>
      </c>
    </row>
    <row r="44" spans="2:10" s="9" customFormat="1" ht="12.75">
      <c r="B44" s="194" t="str">
        <f>'MEMORIAL DE CÁLCULO'!A52</f>
        <v>3.1.1</v>
      </c>
      <c r="C44" s="195" t="str">
        <f>'MEMORIAL DE CÁLCULO'!B52</f>
        <v>SETOP</v>
      </c>
      <c r="D44" s="195" t="str">
        <f>'MEMORIAL DE CÁLCULO'!C52</f>
        <v>RO-40211</v>
      </c>
      <c r="E44" s="196" t="str">
        <f>'MEMORIAL DE CÁLCULO'!D52</f>
        <v>ESCAVAÇÃO MANUAL DE VALAS EM SOLO, COM ALTURA DE 0 A 1,50 M</v>
      </c>
      <c r="F44" s="197">
        <f>'MEMORIAL DE CÁLCULO'!G52</f>
        <v>12.67</v>
      </c>
      <c r="G44" s="197" t="str">
        <f>'MEMORIAL DE CÁLCULO'!H52</f>
        <v>m³</v>
      </c>
      <c r="H44" s="209">
        <v>49.57</v>
      </c>
      <c r="I44" s="197">
        <f aca="true" t="shared" si="3" ref="I44:I50">ROUND(H44*I$7,2)+H44</f>
        <v>62.66</v>
      </c>
      <c r="J44" s="198">
        <f aca="true" t="shared" si="4" ref="J44:J50">ROUND(I44*F44,2)</f>
        <v>793.9</v>
      </c>
    </row>
    <row r="45" spans="2:10" s="9" customFormat="1" ht="12.75" customHeight="1">
      <c r="B45" s="194" t="str">
        <f>'MEMORIAL DE CÁLCULO'!A53</f>
        <v>3.1.2</v>
      </c>
      <c r="C45" s="195" t="str">
        <f>'MEMORIAL DE CÁLCULO'!B53</f>
        <v>SETOP</v>
      </c>
      <c r="D45" s="195" t="str">
        <f>'MEMORIAL DE CÁLCULO'!C53</f>
        <v>RO-40239</v>
      </c>
      <c r="E45" s="196" t="str">
        <f>'MEMORIAL DE CÁLCULO'!D53</f>
        <v>APILOAMENTO DE FUNDO DE VALAS</v>
      </c>
      <c r="F45" s="197">
        <f>'MEMORIAL DE CÁLCULO'!G53</f>
        <v>10.56</v>
      </c>
      <c r="G45" s="197" t="str">
        <f>'MEMORIAL DE CÁLCULO'!H53</f>
        <v>m²</v>
      </c>
      <c r="H45" s="209">
        <v>3.12</v>
      </c>
      <c r="I45" s="197">
        <f t="shared" si="3"/>
        <v>3.94</v>
      </c>
      <c r="J45" s="198">
        <f t="shared" si="4"/>
        <v>41.61</v>
      </c>
    </row>
    <row r="46" spans="2:10" s="9" customFormat="1" ht="12.75">
      <c r="B46" s="194" t="str">
        <f>'MEMORIAL DE CÁLCULO'!A54</f>
        <v>3.1.3</v>
      </c>
      <c r="C46" s="195" t="str">
        <f>'MEMORIAL DE CÁLCULO'!B54</f>
        <v>SINAPI</v>
      </c>
      <c r="D46" s="195" t="str">
        <f>'MEMORIAL DE CÁLCULO'!C54</f>
        <v>96617 </v>
      </c>
      <c r="E46" s="196" t="str">
        <f>'MEMORIAL DE CÁLCULO'!D54</f>
        <v>LASTRO DE CONCRETO MAGRO, APLICADO EM BLOCOS DE COROAMENTO OU SAPATAS, ESPESSURA DE 3 CM. AF_08/2017</v>
      </c>
      <c r="F46" s="197">
        <f>'MEMORIAL DE CÁLCULO'!G54</f>
        <v>10.56</v>
      </c>
      <c r="G46" s="197" t="str">
        <f>'MEMORIAL DE CÁLCULO'!H54</f>
        <v>m²</v>
      </c>
      <c r="H46" s="209">
        <v>15.3</v>
      </c>
      <c r="I46" s="197">
        <f t="shared" si="3"/>
        <v>19.34</v>
      </c>
      <c r="J46" s="198">
        <f t="shared" si="4"/>
        <v>204.23</v>
      </c>
    </row>
    <row r="47" spans="2:10" s="9" customFormat="1" ht="12.75">
      <c r="B47" s="194" t="str">
        <f>'MEMORIAL DE CÁLCULO'!A55</f>
        <v>3.1.4</v>
      </c>
      <c r="C47" s="195" t="str">
        <f>'MEMORIAL DE CÁLCULO'!B55</f>
        <v>SETOP</v>
      </c>
      <c r="D47" s="195" t="str">
        <f>'MEMORIAL DE CÁLCULO'!C55</f>
        <v>ED-51120</v>
      </c>
      <c r="E47" s="196" t="str">
        <f>'MEMORIAL DE CÁLCULO'!D55</f>
        <v>REATERRO MANUAL DE VALA</v>
      </c>
      <c r="F47" s="197">
        <f>'MEMORIAL DE CÁLCULO'!G55</f>
        <v>6.3</v>
      </c>
      <c r="G47" s="197" t="str">
        <f>'MEMORIAL DE CÁLCULO'!H55</f>
        <v>m³</v>
      </c>
      <c r="H47" s="209">
        <v>50.72</v>
      </c>
      <c r="I47" s="197">
        <f t="shared" si="3"/>
        <v>64.12</v>
      </c>
      <c r="J47" s="198">
        <f t="shared" si="4"/>
        <v>403.96</v>
      </c>
    </row>
    <row r="48" spans="2:10" s="9" customFormat="1" ht="12.75">
      <c r="B48" s="194" t="str">
        <f>'MEMORIAL DE CÁLCULO'!A56</f>
        <v>3.1.5</v>
      </c>
      <c r="C48" s="195" t="str">
        <f>'MEMORIAL DE CÁLCULO'!B56</f>
        <v>SETOP</v>
      </c>
      <c r="D48" s="195" t="str">
        <f>'MEMORIAL DE CÁLCULO'!C56</f>
        <v>ED-48295</v>
      </c>
      <c r="E48" s="196" t="str">
        <f>'MEMORIAL DE CÁLCULO'!D56</f>
        <v>CORTE, DOBRA E MONTAGEM DE AÇO CA-50 DIÂMETRO (6,3MM A 12,5MM)</v>
      </c>
      <c r="F48" s="197">
        <f>'MEMORIAL DE CÁLCULO'!G56</f>
        <v>129.32</v>
      </c>
      <c r="G48" s="197" t="str">
        <f>'MEMORIAL DE CÁLCULO'!H56</f>
        <v>kg</v>
      </c>
      <c r="H48" s="209">
        <v>12.13</v>
      </c>
      <c r="I48" s="197">
        <f t="shared" si="3"/>
        <v>15.33</v>
      </c>
      <c r="J48" s="198">
        <f t="shared" si="4"/>
        <v>1982.48</v>
      </c>
    </row>
    <row r="49" spans="2:10" s="9" customFormat="1" ht="12.75">
      <c r="B49" s="194" t="str">
        <f>'MEMORIAL DE CÁLCULO'!A57</f>
        <v>3.1.6</v>
      </c>
      <c r="C49" s="195" t="str">
        <f>'MEMORIAL DE CÁLCULO'!B57</f>
        <v>SETOP</v>
      </c>
      <c r="D49" s="195" t="str">
        <f>'MEMORIAL DE CÁLCULO'!C57</f>
        <v>ED-48297</v>
      </c>
      <c r="E49" s="196" t="str">
        <f>'MEMORIAL DE CÁLCULO'!D57</f>
        <v>CORTE, DOBRA E MONTAGEM DE AÇO CA-60 DIÂMETRO (4,2MM A 5,0MM)</v>
      </c>
      <c r="F49" s="197">
        <f>'MEMORIAL DE CÁLCULO'!G57</f>
        <v>27.97</v>
      </c>
      <c r="G49" s="197" t="str">
        <f>'MEMORIAL DE CÁLCULO'!H57</f>
        <v>kg</v>
      </c>
      <c r="H49" s="209">
        <v>13.33</v>
      </c>
      <c r="I49" s="197">
        <f t="shared" si="3"/>
        <v>16.85</v>
      </c>
      <c r="J49" s="198">
        <f t="shared" si="4"/>
        <v>471.29</v>
      </c>
    </row>
    <row r="50" spans="2:10" s="9" customFormat="1" ht="12.75" customHeight="1" thickBot="1">
      <c r="B50" s="194" t="str">
        <f>'MEMORIAL DE CÁLCULO'!A58</f>
        <v>3.1.7</v>
      </c>
      <c r="C50" s="195" t="str">
        <f>'MEMORIAL DE CÁLCULO'!B58</f>
        <v>SETOP</v>
      </c>
      <c r="D50" s="195" t="str">
        <f>'MEMORIAL DE CÁLCULO'!C58</f>
        <v>ED-49618</v>
      </c>
      <c r="E50" s="196" t="str">
        <f>'MEMORIAL DE CÁLCULO'!D58</f>
        <v>FORNECIMENTO DE CONCRETO ESTRUTURAL, PREPARADO EM OBRA, COM FCK 20 MPA, INCLUSIVE LANÇAMENTO, ADENSAMENTO E ACABAMENTO</v>
      </c>
      <c r="F50" s="197">
        <f>'MEMORIAL DE CÁLCULO'!G58</f>
        <v>6.34</v>
      </c>
      <c r="G50" s="197" t="str">
        <f>'MEMORIAL DE CÁLCULO'!H58</f>
        <v>m³</v>
      </c>
      <c r="H50" s="209">
        <v>531.04</v>
      </c>
      <c r="I50" s="197">
        <f t="shared" si="3"/>
        <v>671.29</v>
      </c>
      <c r="J50" s="198">
        <f t="shared" si="4"/>
        <v>4255.98</v>
      </c>
    </row>
    <row r="51" spans="2:10" ht="18.75" customHeight="1" thickBot="1">
      <c r="B51" s="199" t="s">
        <v>59</v>
      </c>
      <c r="C51" s="379" t="s">
        <v>88</v>
      </c>
      <c r="D51" s="380"/>
      <c r="E51" s="380"/>
      <c r="F51" s="380"/>
      <c r="G51" s="380"/>
      <c r="H51" s="208"/>
      <c r="I51" s="205"/>
      <c r="J51" s="200">
        <f>SUM(J52:J55)</f>
        <v>4724.62</v>
      </c>
    </row>
    <row r="52" spans="2:10" s="9" customFormat="1" ht="12.75">
      <c r="B52" s="194" t="str">
        <f>'MEMORIAL DE CÁLCULO'!A61</f>
        <v>3.2.1</v>
      </c>
      <c r="C52" s="195" t="str">
        <f>'MEMORIAL DE CÁLCULO'!B61</f>
        <v>SETOP</v>
      </c>
      <c r="D52" s="195" t="str">
        <f>'MEMORIAL DE CÁLCULO'!C61</f>
        <v>ED-48295</v>
      </c>
      <c r="E52" s="196" t="str">
        <f>'MEMORIAL DE CÁLCULO'!D61</f>
        <v>CORTE, DOBRA E MONTAGEM DE AÇO CA-50 DIÂMETRO (6,3MM A 12,5MM)</v>
      </c>
      <c r="F52" s="197">
        <f>'MEMORIAL DE CÁLCULO'!G61</f>
        <v>129.32</v>
      </c>
      <c r="G52" s="197" t="str">
        <f>'MEMORIAL DE CÁLCULO'!H61</f>
        <v>kg</v>
      </c>
      <c r="H52" s="209">
        <v>12.13</v>
      </c>
      <c r="I52" s="197">
        <f aca="true" t="shared" si="5" ref="I52:I62">ROUND(H52*I$7,2)+H52</f>
        <v>15.33</v>
      </c>
      <c r="J52" s="198">
        <f>ROUND(I52*F52,2)</f>
        <v>1982.48</v>
      </c>
    </row>
    <row r="53" spans="2:10" s="9" customFormat="1" ht="12.75" customHeight="1">
      <c r="B53" s="194" t="str">
        <f>'MEMORIAL DE CÁLCULO'!A62</f>
        <v>3.2.2</v>
      </c>
      <c r="C53" s="195" t="str">
        <f>'MEMORIAL DE CÁLCULO'!B62</f>
        <v>SETOP</v>
      </c>
      <c r="D53" s="195" t="str">
        <f>'MEMORIAL DE CÁLCULO'!C62</f>
        <v>ED-48297</v>
      </c>
      <c r="E53" s="196" t="str">
        <f>'MEMORIAL DE CÁLCULO'!D62</f>
        <v>CORTE, DOBRA E MONTAGEM DE AÇO CA-60 DIÂMETRO (4,2MM A 5,0MM)</v>
      </c>
      <c r="F53" s="197">
        <f>'MEMORIAL DE CÁLCULO'!G62</f>
        <v>27.97</v>
      </c>
      <c r="G53" s="197" t="str">
        <f>'MEMORIAL DE CÁLCULO'!H62</f>
        <v>kg</v>
      </c>
      <c r="H53" s="209">
        <v>13.33</v>
      </c>
      <c r="I53" s="197">
        <f t="shared" si="5"/>
        <v>16.85</v>
      </c>
      <c r="J53" s="198">
        <f>ROUND(I53*F53,2)</f>
        <v>471.29</v>
      </c>
    </row>
    <row r="54" spans="2:10" s="9" customFormat="1" ht="12.75" customHeight="1">
      <c r="B54" s="194" t="str">
        <f>'MEMORIAL DE CÁLCULO'!A63</f>
        <v>3.2.3</v>
      </c>
      <c r="C54" s="195" t="str">
        <f>'MEMORIAL DE CÁLCULO'!B63</f>
        <v>SETOP</v>
      </c>
      <c r="D54" s="195" t="str">
        <f>'MEMORIAL DE CÁLCULO'!C63</f>
        <v>ED-49618</v>
      </c>
      <c r="E54" s="196" t="str">
        <f>'MEMORIAL DE CÁLCULO'!D63</f>
        <v>FORNECIMENTO DE CONCRETO ESTRUTURAL, PREPARADO EM OBRA, COM FCK 20 MPA, INCLUSIVE LANÇAMENTO, ADENSAMENTO E ACABAMENTO</v>
      </c>
      <c r="F54" s="197">
        <f>'MEMORIAL DE CÁLCULO'!G63</f>
        <v>3.14</v>
      </c>
      <c r="G54" s="197" t="str">
        <f>'MEMORIAL DE CÁLCULO'!H63</f>
        <v>m³</v>
      </c>
      <c r="H54" s="209">
        <v>531.04</v>
      </c>
      <c r="I54" s="197">
        <f t="shared" si="5"/>
        <v>671.29</v>
      </c>
      <c r="J54" s="198">
        <f>ROUND(I54*F54,2)</f>
        <v>2107.85</v>
      </c>
    </row>
    <row r="55" spans="2:10" s="9" customFormat="1" ht="13.5" thickBot="1">
      <c r="B55" s="194" t="str">
        <f>'MEMORIAL DE CÁLCULO'!A64</f>
        <v>3.2.4</v>
      </c>
      <c r="C55" s="195" t="str">
        <f>'MEMORIAL DE CÁLCULO'!B64</f>
        <v>SETOP</v>
      </c>
      <c r="D55" s="195" t="str">
        <f>'MEMORIAL DE CÁLCULO'!C64</f>
        <v>ED-8471</v>
      </c>
      <c r="E55" s="196" t="str">
        <f>'MEMORIAL DE CÁLCULO'!D64</f>
        <v>FORMA E DESFORMA DE TÁBUA E SARRAFO, REAPROVEITAMENTO (5X), EXCLUSIVE ESCORAMENTO</v>
      </c>
      <c r="F55" s="197">
        <f>'MEMORIAL DE CÁLCULO'!G64</f>
        <v>3.46</v>
      </c>
      <c r="G55" s="197" t="str">
        <f>'MEMORIAL DE CÁLCULO'!H64</f>
        <v>m²</v>
      </c>
      <c r="H55" s="209">
        <v>37.27</v>
      </c>
      <c r="I55" s="197">
        <f t="shared" si="5"/>
        <v>47.11</v>
      </c>
      <c r="J55" s="198">
        <f>ROUND(I55*F55,2)</f>
        <v>163</v>
      </c>
    </row>
    <row r="56" spans="2:10" ht="18.75" customHeight="1" thickBot="1">
      <c r="B56" s="199" t="s">
        <v>183</v>
      </c>
      <c r="C56" s="379" t="s">
        <v>237</v>
      </c>
      <c r="D56" s="380"/>
      <c r="E56" s="380"/>
      <c r="F56" s="380"/>
      <c r="G56" s="380"/>
      <c r="H56" s="208"/>
      <c r="I56" s="205"/>
      <c r="J56" s="200">
        <f>SUM(J57:J60)</f>
        <v>4011.31</v>
      </c>
    </row>
    <row r="57" spans="2:10" s="9" customFormat="1" ht="12.75">
      <c r="B57" s="194" t="str">
        <f>'MEMORIAL DE CÁLCULO'!A67</f>
        <v>3.3.1</v>
      </c>
      <c r="C57" s="195" t="str">
        <f>'MEMORIAL DE CÁLCULO'!B67</f>
        <v>SETOP</v>
      </c>
      <c r="D57" s="195" t="str">
        <f>'MEMORIAL DE CÁLCULO'!C67</f>
        <v>ED-48295</v>
      </c>
      <c r="E57" s="196" t="str">
        <f>'MEMORIAL DE CÁLCULO'!D67</f>
        <v>CORTE, DOBRA E MONTAGEM DE AÇO CA-50 DIÂMETRO (6,3MM A 12,5MM)</v>
      </c>
      <c r="F57" s="197">
        <f>'MEMORIAL DE CÁLCULO'!G67</f>
        <v>82.79</v>
      </c>
      <c r="G57" s="197" t="str">
        <f>'MEMORIAL DE CÁLCULO'!H67</f>
        <v>kg</v>
      </c>
      <c r="H57" s="207">
        <v>12.13</v>
      </c>
      <c r="I57" s="197">
        <f t="shared" si="5"/>
        <v>15.33</v>
      </c>
      <c r="J57" s="198">
        <f>ROUND(I57*F57,2)</f>
        <v>1269.17</v>
      </c>
    </row>
    <row r="58" spans="2:10" s="9" customFormat="1" ht="12.75" customHeight="1">
      <c r="B58" s="194" t="str">
        <f>'MEMORIAL DE CÁLCULO'!A68</f>
        <v>3.3.2</v>
      </c>
      <c r="C58" s="195" t="str">
        <f>'MEMORIAL DE CÁLCULO'!B68</f>
        <v>SETOP</v>
      </c>
      <c r="D58" s="195" t="str">
        <f>'MEMORIAL DE CÁLCULO'!C68</f>
        <v>ED-48297</v>
      </c>
      <c r="E58" s="196" t="str">
        <f>'MEMORIAL DE CÁLCULO'!D68</f>
        <v>CORTE, DOBRA E MONTAGEM DE AÇO CA-60 DIÂMETRO (4,2MM A 5,0MM)</v>
      </c>
      <c r="F58" s="197">
        <f>'MEMORIAL DE CÁLCULO'!G68</f>
        <v>27.97</v>
      </c>
      <c r="G58" s="197" t="str">
        <f>'MEMORIAL DE CÁLCULO'!H68</f>
        <v>kg</v>
      </c>
      <c r="H58" s="209">
        <v>13.33</v>
      </c>
      <c r="I58" s="197">
        <f t="shared" si="5"/>
        <v>16.85</v>
      </c>
      <c r="J58" s="198">
        <f>ROUND(I58*F58,2)</f>
        <v>471.29</v>
      </c>
    </row>
    <row r="59" spans="2:10" s="9" customFormat="1" ht="12.75" customHeight="1">
      <c r="B59" s="194" t="str">
        <f>'MEMORIAL DE CÁLCULO'!A69</f>
        <v>3.3.3</v>
      </c>
      <c r="C59" s="195" t="str">
        <f>'MEMORIAL DE CÁLCULO'!B69</f>
        <v>SETOP</v>
      </c>
      <c r="D59" s="195" t="str">
        <f>'MEMORIAL DE CÁLCULO'!C69</f>
        <v>ED-49618</v>
      </c>
      <c r="E59" s="196" t="str">
        <f>'MEMORIAL DE CÁLCULO'!D69</f>
        <v>FORNECIMENTO DE CONCRETO ESTRUTURAL, PREPARADO EM OBRA, COM FCK 20 MPA, INCLUSIVE LANÇAMENTO, ADENSAMENTO E ACABAMENTO</v>
      </c>
      <c r="F59" s="197">
        <f>'MEMORIAL DE CÁLCULO'!G69</f>
        <v>3.14</v>
      </c>
      <c r="G59" s="197" t="str">
        <f>'MEMORIAL DE CÁLCULO'!H69</f>
        <v>m³</v>
      </c>
      <c r="H59" s="209">
        <v>531.04</v>
      </c>
      <c r="I59" s="197">
        <f t="shared" si="5"/>
        <v>671.29</v>
      </c>
      <c r="J59" s="198">
        <f>ROUND(I59*F59,2)</f>
        <v>2107.85</v>
      </c>
    </row>
    <row r="60" spans="2:10" s="9" customFormat="1" ht="13.5" thickBot="1">
      <c r="B60" s="194" t="str">
        <f>'MEMORIAL DE CÁLCULO'!A70</f>
        <v>3.3.4</v>
      </c>
      <c r="C60" s="195" t="str">
        <f>'MEMORIAL DE CÁLCULO'!B70</f>
        <v>SETOP</v>
      </c>
      <c r="D60" s="195" t="str">
        <f>'MEMORIAL DE CÁLCULO'!C70</f>
        <v>ED-8471</v>
      </c>
      <c r="E60" s="196" t="str">
        <f>'MEMORIAL DE CÁLCULO'!D70</f>
        <v>FORMA E DESFORMA DE TÁBUA E SARRAFO, REAPROVEITAMENTO (5X), EXCLUSIVE ESCORAMENTO</v>
      </c>
      <c r="F60" s="197">
        <f>'MEMORIAL DE CÁLCULO'!G70</f>
        <v>3.46</v>
      </c>
      <c r="G60" s="197" t="str">
        <f>'MEMORIAL DE CÁLCULO'!H70</f>
        <v>m²</v>
      </c>
      <c r="H60" s="209">
        <v>37.27</v>
      </c>
      <c r="I60" s="197">
        <f t="shared" si="5"/>
        <v>47.11</v>
      </c>
      <c r="J60" s="198">
        <f>ROUND(I60*F60,2)</f>
        <v>163</v>
      </c>
    </row>
    <row r="61" spans="2:10" ht="18.75" customHeight="1" thickBot="1">
      <c r="B61" s="199" t="s">
        <v>250</v>
      </c>
      <c r="C61" s="379" t="s">
        <v>94</v>
      </c>
      <c r="D61" s="380"/>
      <c r="E61" s="380"/>
      <c r="F61" s="380"/>
      <c r="G61" s="380"/>
      <c r="H61" s="208"/>
      <c r="I61" s="205"/>
      <c r="J61" s="200">
        <f>SUM(J62)</f>
        <v>2087.09</v>
      </c>
    </row>
    <row r="62" spans="2:10" s="9" customFormat="1" ht="12.75" customHeight="1" thickBot="1">
      <c r="B62" s="194" t="str">
        <f>'MEMORIAL DE CÁLCULO'!A73</f>
        <v>3.4.1</v>
      </c>
      <c r="C62" s="195" t="str">
        <f>'MEMORIAL DE CÁLCULO'!B73</f>
        <v>SETOP</v>
      </c>
      <c r="D62" s="195" t="str">
        <f>'MEMORIAL DE CÁLCULO'!C73</f>
        <v>ED-48195</v>
      </c>
      <c r="E62" s="196" t="str">
        <f>'MEMORIAL DE CÁLCULO'!D73</f>
        <v>ALVENARIA DE VEDAÇÃO COM BLOCO DE CONCRETO, ESP. 14CM, COM ACABAMENTO APARENTE, INCLUSIVE ARGAMASSA PARA ASSENTAMENTO</v>
      </c>
      <c r="F62" s="197">
        <f>'MEMORIAL DE CÁLCULO'!G73</f>
        <v>36.68</v>
      </c>
      <c r="G62" s="197" t="str">
        <f>'MEMORIAL DE CÁLCULO'!H73</f>
        <v>m²</v>
      </c>
      <c r="H62" s="207">
        <v>45.01</v>
      </c>
      <c r="I62" s="197">
        <f t="shared" si="5"/>
        <v>56.9</v>
      </c>
      <c r="J62" s="198">
        <f>ROUND(I62*F62,2)</f>
        <v>2087.09</v>
      </c>
    </row>
    <row r="63" spans="2:10" ht="18.75" customHeight="1" thickBot="1">
      <c r="B63" s="199" t="s">
        <v>315</v>
      </c>
      <c r="C63" s="379" t="s">
        <v>96</v>
      </c>
      <c r="D63" s="380"/>
      <c r="E63" s="380"/>
      <c r="F63" s="380"/>
      <c r="G63" s="380"/>
      <c r="H63" s="208"/>
      <c r="I63" s="205"/>
      <c r="J63" s="200">
        <f>SUM(J64)</f>
        <v>221.52</v>
      </c>
    </row>
    <row r="64" spans="2:10" s="9" customFormat="1" ht="13.5" thickBot="1">
      <c r="B64" s="194" t="str">
        <f>'MEMORIAL DE CÁLCULO'!A76</f>
        <v>3.5.1</v>
      </c>
      <c r="C64" s="195" t="str">
        <f>'MEMORIAL DE CÁLCULO'!B76</f>
        <v>SETOP</v>
      </c>
      <c r="D64" s="195" t="str">
        <f>'MEMORIAL DE CÁLCULO'!C76</f>
        <v>ED-9917</v>
      </c>
      <c r="E64" s="196" t="str">
        <f>'MEMORIAL DE CÁLCULO'!D76</f>
        <v>PINTURA EPÓXI EM PAREDE, DUAS (2) DEMÃOS, EXCLUSIVE SELADOR ACRÍLICO E MASSA ACRÍLICA/CORRIDA (PVA)</v>
      </c>
      <c r="F64" s="197">
        <f>'MEMORIAL DE CÁLCULO'!G76</f>
        <v>7.9</v>
      </c>
      <c r="G64" s="197" t="str">
        <f>'MEMORIAL DE CÁLCULO'!H76</f>
        <v>m²</v>
      </c>
      <c r="H64" s="207">
        <v>22.18</v>
      </c>
      <c r="I64" s="197">
        <f>ROUND(H64*I$7,2)+H64</f>
        <v>28.04</v>
      </c>
      <c r="J64" s="198">
        <f>ROUND(I64*F64,2)</f>
        <v>221.52</v>
      </c>
    </row>
    <row r="65" spans="2:10" ht="18.75" customHeight="1" thickBot="1">
      <c r="B65" s="114">
        <v>4</v>
      </c>
      <c r="C65" s="361" t="s">
        <v>252</v>
      </c>
      <c r="D65" s="362"/>
      <c r="E65" s="362"/>
      <c r="F65" s="362"/>
      <c r="G65" s="362"/>
      <c r="H65" s="206"/>
      <c r="I65" s="192"/>
      <c r="J65" s="193">
        <f>J66+J74+J81+J86+J91+J96+J98+J100+J102+J107+J109+J111+J113+J119+J127+J129+J138</f>
        <v>106686.2</v>
      </c>
    </row>
    <row r="66" spans="2:10" ht="18.75" customHeight="1" thickBot="1">
      <c r="B66" s="199" t="s">
        <v>268</v>
      </c>
      <c r="C66" s="379" t="s">
        <v>185</v>
      </c>
      <c r="D66" s="380"/>
      <c r="E66" s="380"/>
      <c r="F66" s="380"/>
      <c r="G66" s="380"/>
      <c r="H66" s="208"/>
      <c r="I66" s="205"/>
      <c r="J66" s="200">
        <f>SUM(J67:J73)</f>
        <v>13488.13</v>
      </c>
    </row>
    <row r="67" spans="2:10" s="9" customFormat="1" ht="12.75">
      <c r="B67" s="194" t="str">
        <f>'MEMORIAL DE CÁLCULO'!A80</f>
        <v>4.1.1</v>
      </c>
      <c r="C67" s="195" t="str">
        <f>'MEMORIAL DE CÁLCULO'!B80</f>
        <v>SETOP</v>
      </c>
      <c r="D67" s="195" t="str">
        <f>'MEMORIAL DE CÁLCULO'!C80</f>
        <v>RO-40211</v>
      </c>
      <c r="E67" s="196" t="str">
        <f>'MEMORIAL DE CÁLCULO'!D80</f>
        <v>ESCAVAÇÃO MANUAL DE VALAS EM SOLO, COM ALTURA DE 0 A 1,50 M</v>
      </c>
      <c r="F67" s="197">
        <f>'MEMORIAL DE CÁLCULO'!G80</f>
        <v>26.82</v>
      </c>
      <c r="G67" s="197" t="str">
        <f>'MEMORIAL DE CÁLCULO'!H80</f>
        <v>m³</v>
      </c>
      <c r="H67" s="209">
        <v>49.57</v>
      </c>
      <c r="I67" s="197">
        <f aca="true" t="shared" si="6" ref="I67:I73">ROUND(H67*I$7,2)+H67</f>
        <v>62.66</v>
      </c>
      <c r="J67" s="198">
        <f aca="true" t="shared" si="7" ref="J67:J73">ROUND(I67*F67,2)</f>
        <v>1680.54</v>
      </c>
    </row>
    <row r="68" spans="2:10" s="9" customFormat="1" ht="12.75" customHeight="1">
      <c r="B68" s="194" t="str">
        <f>'MEMORIAL DE CÁLCULO'!A81</f>
        <v>4.1.2</v>
      </c>
      <c r="C68" s="195" t="str">
        <f>'MEMORIAL DE CÁLCULO'!B81</f>
        <v>SETOP</v>
      </c>
      <c r="D68" s="195" t="str">
        <f>'MEMORIAL DE CÁLCULO'!C81</f>
        <v>RO-40239</v>
      </c>
      <c r="E68" s="196" t="str">
        <f>'MEMORIAL DE CÁLCULO'!D81</f>
        <v>APILOAMENTO DE FUNDO DE VALAS</v>
      </c>
      <c r="F68" s="197">
        <f>'MEMORIAL DE CÁLCULO'!G81</f>
        <v>2.7</v>
      </c>
      <c r="G68" s="197" t="str">
        <f>'MEMORIAL DE CÁLCULO'!H81</f>
        <v>m²</v>
      </c>
      <c r="H68" s="209">
        <v>3.12</v>
      </c>
      <c r="I68" s="197">
        <f t="shared" si="6"/>
        <v>3.94</v>
      </c>
      <c r="J68" s="198">
        <f t="shared" si="7"/>
        <v>10.64</v>
      </c>
    </row>
    <row r="69" spans="2:10" s="9" customFormat="1" ht="12.75">
      <c r="B69" s="194" t="str">
        <f>'MEMORIAL DE CÁLCULO'!A82</f>
        <v>4.1.3</v>
      </c>
      <c r="C69" s="195" t="str">
        <f>'MEMORIAL DE CÁLCULO'!B82</f>
        <v>SINAPI</v>
      </c>
      <c r="D69" s="195" t="str">
        <f>'MEMORIAL DE CÁLCULO'!C82</f>
        <v>96617 </v>
      </c>
      <c r="E69" s="196" t="str">
        <f>'MEMORIAL DE CÁLCULO'!D82</f>
        <v>LASTRO DE CONCRETO MAGRO, APLICADO EM BLOCOS DE COROAMENTO OU SAPATAS, ESPESSURA DE 3 CM. AF_08/2017</v>
      </c>
      <c r="F69" s="197">
        <f>'MEMORIAL DE CÁLCULO'!G82</f>
        <v>2.7</v>
      </c>
      <c r="G69" s="197" t="str">
        <f>'MEMORIAL DE CÁLCULO'!H82</f>
        <v>m²</v>
      </c>
      <c r="H69" s="209">
        <v>15.3</v>
      </c>
      <c r="I69" s="197">
        <f t="shared" si="6"/>
        <v>19.34</v>
      </c>
      <c r="J69" s="198">
        <f t="shared" si="7"/>
        <v>52.22</v>
      </c>
    </row>
    <row r="70" spans="2:10" s="9" customFormat="1" ht="12.75">
      <c r="B70" s="194" t="str">
        <f>'MEMORIAL DE CÁLCULO'!A83</f>
        <v>4.1.4</v>
      </c>
      <c r="C70" s="195" t="str">
        <f>'MEMORIAL DE CÁLCULO'!B83</f>
        <v>SETOP</v>
      </c>
      <c r="D70" s="195" t="str">
        <f>'MEMORIAL DE CÁLCULO'!C83</f>
        <v>ED-51120</v>
      </c>
      <c r="E70" s="196" t="str">
        <f>'MEMORIAL DE CÁLCULO'!D83</f>
        <v>REATERRO MANUAL DE VALA</v>
      </c>
      <c r="F70" s="197">
        <f>'MEMORIAL DE CÁLCULO'!G83</f>
        <v>13.22</v>
      </c>
      <c r="G70" s="197" t="str">
        <f>'MEMORIAL DE CÁLCULO'!H83</f>
        <v>m³</v>
      </c>
      <c r="H70" s="209">
        <v>50.72</v>
      </c>
      <c r="I70" s="197">
        <f t="shared" si="6"/>
        <v>64.12</v>
      </c>
      <c r="J70" s="198">
        <f t="shared" si="7"/>
        <v>847.67</v>
      </c>
    </row>
    <row r="71" spans="2:10" s="9" customFormat="1" ht="12.75">
      <c r="B71" s="194" t="str">
        <f>'MEMORIAL DE CÁLCULO'!A84</f>
        <v>4.1.5</v>
      </c>
      <c r="C71" s="195" t="str">
        <f>'MEMORIAL DE CÁLCULO'!B84</f>
        <v>SETOP</v>
      </c>
      <c r="D71" s="195" t="str">
        <f>'MEMORIAL DE CÁLCULO'!C84</f>
        <v>ED-48295</v>
      </c>
      <c r="E71" s="196" t="str">
        <f>'MEMORIAL DE CÁLCULO'!D84</f>
        <v>CORTE, DOBRA E MONTAGEM DE AÇO CA-50 DIÂMETRO (6,3MM A 12,5MM)</v>
      </c>
      <c r="F71" s="197">
        <f>'MEMORIAL DE CÁLCULO'!G84</f>
        <v>335.8</v>
      </c>
      <c r="G71" s="197" t="str">
        <f>'MEMORIAL DE CÁLCULO'!H84</f>
        <v>kg</v>
      </c>
      <c r="H71" s="209">
        <v>12.13</v>
      </c>
      <c r="I71" s="197">
        <f t="shared" si="6"/>
        <v>15.33</v>
      </c>
      <c r="J71" s="198">
        <f t="shared" si="7"/>
        <v>5147.81</v>
      </c>
    </row>
    <row r="72" spans="2:10" s="9" customFormat="1" ht="12.75">
      <c r="B72" s="194" t="str">
        <f>'MEMORIAL DE CÁLCULO'!A85</f>
        <v>4.1.6</v>
      </c>
      <c r="C72" s="195" t="str">
        <f>'MEMORIAL DE CÁLCULO'!B85</f>
        <v>SETOP</v>
      </c>
      <c r="D72" s="195" t="str">
        <f>'MEMORIAL DE CÁLCULO'!C85</f>
        <v>ED-48297</v>
      </c>
      <c r="E72" s="196" t="str">
        <f>'MEMORIAL DE CÁLCULO'!D85</f>
        <v>CORTE, DOBRA E MONTAGEM DE AÇO CA-60 DIÂMETRO (4,2MM A 5,0MM)</v>
      </c>
      <c r="F72" s="197">
        <f>'MEMORIAL DE CÁLCULO'!G85</f>
        <v>44.4</v>
      </c>
      <c r="G72" s="197" t="str">
        <f>'MEMORIAL DE CÁLCULO'!H85</f>
        <v>kg</v>
      </c>
      <c r="H72" s="209">
        <v>13.33</v>
      </c>
      <c r="I72" s="197">
        <f t="shared" si="6"/>
        <v>16.85</v>
      </c>
      <c r="J72" s="198">
        <f t="shared" si="7"/>
        <v>748.14</v>
      </c>
    </row>
    <row r="73" spans="2:10" s="9" customFormat="1" ht="12.75" customHeight="1" thickBot="1">
      <c r="B73" s="194" t="str">
        <f>'MEMORIAL DE CÁLCULO'!A86</f>
        <v>4.1.7</v>
      </c>
      <c r="C73" s="195" t="str">
        <f>'MEMORIAL DE CÁLCULO'!B86</f>
        <v>SETOP</v>
      </c>
      <c r="D73" s="195" t="str">
        <f>'MEMORIAL DE CÁLCULO'!C86</f>
        <v>ED-49618</v>
      </c>
      <c r="E73" s="196" t="str">
        <f>'MEMORIAL DE CÁLCULO'!D86</f>
        <v>FORNECIMENTO DE CONCRETO ESTRUTURAL, PREPARADO EM OBRA, COM FCK 20 MPA, INCLUSIVE LANÇAMENTO, ADENSAMENTO E ACABAMENTO</v>
      </c>
      <c r="F73" s="197">
        <f>'MEMORIAL DE CÁLCULO'!G86</f>
        <v>7.45</v>
      </c>
      <c r="G73" s="197" t="str">
        <f>'MEMORIAL DE CÁLCULO'!H86</f>
        <v>m³</v>
      </c>
      <c r="H73" s="209">
        <v>531.04</v>
      </c>
      <c r="I73" s="197">
        <f t="shared" si="6"/>
        <v>671.29</v>
      </c>
      <c r="J73" s="198">
        <f t="shared" si="7"/>
        <v>5001.11</v>
      </c>
    </row>
    <row r="74" spans="2:10" ht="18.75" customHeight="1" thickBot="1">
      <c r="B74" s="199" t="s">
        <v>276</v>
      </c>
      <c r="C74" s="379" t="s">
        <v>88</v>
      </c>
      <c r="D74" s="380"/>
      <c r="E74" s="380"/>
      <c r="F74" s="380"/>
      <c r="G74" s="380"/>
      <c r="H74" s="208"/>
      <c r="I74" s="205"/>
      <c r="J74" s="200">
        <f>SUM(J75:J80)</f>
        <v>9082.71</v>
      </c>
    </row>
    <row r="75" spans="2:10" s="9" customFormat="1" ht="12.75">
      <c r="B75" s="194" t="str">
        <f>'MEMORIAL DE CÁLCULO'!A89</f>
        <v>4.2.1</v>
      </c>
      <c r="C75" s="195" t="str">
        <f>'MEMORIAL DE CÁLCULO'!B89</f>
        <v>SETOP</v>
      </c>
      <c r="D75" s="195" t="str">
        <f>'MEMORIAL DE CÁLCULO'!C89</f>
        <v>RO-40211</v>
      </c>
      <c r="E75" s="196" t="str">
        <f>'MEMORIAL DE CÁLCULO'!D89</f>
        <v>ESCAVAÇÃO MANUAL DE VALAS EM SOLO, COM ALTURA DE 0 A 1,50 M</v>
      </c>
      <c r="F75" s="197">
        <f>'MEMORIAL DE CÁLCULO'!G89</f>
        <v>0.93</v>
      </c>
      <c r="G75" s="197" t="str">
        <f>'MEMORIAL DE CÁLCULO'!H89</f>
        <v>m³</v>
      </c>
      <c r="H75" s="209">
        <v>49.57</v>
      </c>
      <c r="I75" s="197">
        <f aca="true" t="shared" si="8" ref="I75:I80">ROUND(H75*I$7,2)+H75</f>
        <v>62.66</v>
      </c>
      <c r="J75" s="198">
        <f aca="true" t="shared" si="9" ref="J75:J80">ROUND(I75*F75,2)</f>
        <v>58.27</v>
      </c>
    </row>
    <row r="76" spans="2:10" s="9" customFormat="1" ht="12.75" customHeight="1">
      <c r="B76" s="194" t="str">
        <f>'MEMORIAL DE CÁLCULO'!A90</f>
        <v>4.2.2</v>
      </c>
      <c r="C76" s="195" t="str">
        <f>'MEMORIAL DE CÁLCULO'!B90</f>
        <v>SINAPI</v>
      </c>
      <c r="D76" s="195">
        <f>'MEMORIAL DE CÁLCULO'!C90</f>
        <v>101619</v>
      </c>
      <c r="E76" s="196" t="str">
        <f>'MEMORIAL DE CÁLCULO'!D90</f>
        <v>PREPARO DE FUNDO DE VALA COM LARGURA MENOR QUE 1,5 M, COM CAMADA DE BRITA, LANÇAMENTO MANUAL. AF_08/2020</v>
      </c>
      <c r="F76" s="197">
        <f>'MEMORIAL DE CÁLCULO'!G90</f>
        <v>0.93</v>
      </c>
      <c r="G76" s="197" t="str">
        <f>'MEMORIAL DE CÁLCULO'!H90</f>
        <v>m³</v>
      </c>
      <c r="H76" s="209">
        <v>227.07</v>
      </c>
      <c r="I76" s="197">
        <f t="shared" si="8"/>
        <v>287.04</v>
      </c>
      <c r="J76" s="198">
        <f t="shared" si="9"/>
        <v>266.95</v>
      </c>
    </row>
    <row r="77" spans="2:10" s="9" customFormat="1" ht="12.75">
      <c r="B77" s="194" t="str">
        <f>'MEMORIAL DE CÁLCULO'!A91</f>
        <v>4.2.3</v>
      </c>
      <c r="C77" s="195" t="str">
        <f>'MEMORIAL DE CÁLCULO'!B91</f>
        <v>SETOP</v>
      </c>
      <c r="D77" s="195" t="str">
        <f>'MEMORIAL DE CÁLCULO'!C91</f>
        <v>ED-48295</v>
      </c>
      <c r="E77" s="196" t="str">
        <f>'MEMORIAL DE CÁLCULO'!D91</f>
        <v>CORTE, DOBRA E MONTAGEM DE AÇO CA-50 DIÂMETRO (6,3MM A 12,5MM)</v>
      </c>
      <c r="F77" s="197">
        <f>'MEMORIAL DE CÁLCULO'!G91</f>
        <v>184.5</v>
      </c>
      <c r="G77" s="197" t="str">
        <f>'MEMORIAL DE CÁLCULO'!H91</f>
        <v>kg</v>
      </c>
      <c r="H77" s="209">
        <v>12.13</v>
      </c>
      <c r="I77" s="197">
        <f t="shared" si="8"/>
        <v>15.33</v>
      </c>
      <c r="J77" s="198">
        <f t="shared" si="9"/>
        <v>2828.39</v>
      </c>
    </row>
    <row r="78" spans="2:10" s="9" customFormat="1" ht="12.75">
      <c r="B78" s="194" t="str">
        <f>'MEMORIAL DE CÁLCULO'!A92</f>
        <v>4.2.4</v>
      </c>
      <c r="C78" s="195" t="str">
        <f>'MEMORIAL DE CÁLCULO'!B92</f>
        <v>SETOP</v>
      </c>
      <c r="D78" s="195" t="str">
        <f>'MEMORIAL DE CÁLCULO'!C92</f>
        <v>ED-48297</v>
      </c>
      <c r="E78" s="196" t="str">
        <f>'MEMORIAL DE CÁLCULO'!D92</f>
        <v>CORTE, DOBRA E MONTAGEM DE AÇO CA-60 DIÂMETRO (4,2MM A 5,0MM)</v>
      </c>
      <c r="F78" s="197">
        <f>'MEMORIAL DE CÁLCULO'!G92</f>
        <v>79.8</v>
      </c>
      <c r="G78" s="197" t="str">
        <f>'MEMORIAL DE CÁLCULO'!H92</f>
        <v>kg</v>
      </c>
      <c r="H78" s="209">
        <v>13.33</v>
      </c>
      <c r="I78" s="197">
        <f t="shared" si="8"/>
        <v>16.85</v>
      </c>
      <c r="J78" s="198">
        <f t="shared" si="9"/>
        <v>1344.63</v>
      </c>
    </row>
    <row r="79" spans="2:10" s="9" customFormat="1" ht="12.75" customHeight="1">
      <c r="B79" s="194" t="str">
        <f>'MEMORIAL DE CÁLCULO'!A93</f>
        <v>4.2.5</v>
      </c>
      <c r="C79" s="195" t="str">
        <f>'MEMORIAL DE CÁLCULO'!B93</f>
        <v>SETOP</v>
      </c>
      <c r="D79" s="195" t="str">
        <f>'MEMORIAL DE CÁLCULO'!C93</f>
        <v>ED-49618</v>
      </c>
      <c r="E79" s="196" t="str">
        <f>'MEMORIAL DE CÁLCULO'!D93</f>
        <v>FORNECIMENTO DE CONCRETO ESTRUTURAL, PREPARADO EM OBRA, COM FCK 20 MPA, INCLUSIVE LANÇAMENTO, ADENSAMENTO E ACABAMENTO</v>
      </c>
      <c r="F79" s="197">
        <f>'MEMORIAL DE CÁLCULO'!G93</f>
        <v>5.75</v>
      </c>
      <c r="G79" s="197" t="str">
        <f>'MEMORIAL DE CÁLCULO'!H93</f>
        <v>m³</v>
      </c>
      <c r="H79" s="209">
        <v>531.04</v>
      </c>
      <c r="I79" s="197">
        <f t="shared" si="8"/>
        <v>671.29</v>
      </c>
      <c r="J79" s="198">
        <f t="shared" si="9"/>
        <v>3859.92</v>
      </c>
    </row>
    <row r="80" spans="2:10" s="9" customFormat="1" ht="13.5" thickBot="1">
      <c r="B80" s="194" t="str">
        <f>'MEMORIAL DE CÁLCULO'!A94</f>
        <v>4.2.6</v>
      </c>
      <c r="C80" s="195" t="str">
        <f>'MEMORIAL DE CÁLCULO'!B94</f>
        <v>SETOP</v>
      </c>
      <c r="D80" s="195" t="str">
        <f>'MEMORIAL DE CÁLCULO'!C94</f>
        <v>ED-8471</v>
      </c>
      <c r="E80" s="196" t="str">
        <f>'MEMORIAL DE CÁLCULO'!D94</f>
        <v>FORMA E DESFORMA DE TÁBUA E SARRAFO, REAPROVEITAMENTO (5X), EXCLUSIVE ESCORAMENTO</v>
      </c>
      <c r="F80" s="197">
        <f>'MEMORIAL DE CÁLCULO'!G94</f>
        <v>15.38</v>
      </c>
      <c r="G80" s="197" t="str">
        <f>'MEMORIAL DE CÁLCULO'!H94</f>
        <v>m²</v>
      </c>
      <c r="H80" s="209">
        <v>37.27</v>
      </c>
      <c r="I80" s="197">
        <f t="shared" si="8"/>
        <v>47.11</v>
      </c>
      <c r="J80" s="198">
        <f t="shared" si="9"/>
        <v>724.55</v>
      </c>
    </row>
    <row r="81" spans="2:10" ht="18" customHeight="1" thickBot="1">
      <c r="B81" s="199" t="s">
        <v>283</v>
      </c>
      <c r="C81" s="379" t="s">
        <v>91</v>
      </c>
      <c r="D81" s="380"/>
      <c r="E81" s="380"/>
      <c r="F81" s="380"/>
      <c r="G81" s="380"/>
      <c r="H81" s="208"/>
      <c r="I81" s="205"/>
      <c r="J81" s="200">
        <f>SUM(J82:J85)</f>
        <v>7724.42</v>
      </c>
    </row>
    <row r="82" spans="2:10" s="9" customFormat="1" ht="12.75">
      <c r="B82" s="194" t="str">
        <f>'MEMORIAL DE CÁLCULO'!A97</f>
        <v>4.3.1</v>
      </c>
      <c r="C82" s="195" t="str">
        <f>'MEMORIAL DE CÁLCULO'!B97</f>
        <v>SETOP</v>
      </c>
      <c r="D82" s="195" t="str">
        <f>'MEMORIAL DE CÁLCULO'!C97</f>
        <v>ED-48295</v>
      </c>
      <c r="E82" s="196" t="str">
        <f>'MEMORIAL DE CÁLCULO'!D97</f>
        <v>CORTE, DOBRA E MONTAGEM DE AÇO CA-50 DIÂMETRO (6,3MM A 12,5MM)</v>
      </c>
      <c r="F82" s="197">
        <f>'MEMORIAL DE CÁLCULO'!G97</f>
        <v>193</v>
      </c>
      <c r="G82" s="197" t="str">
        <f>'MEMORIAL DE CÁLCULO'!H97</f>
        <v>kg</v>
      </c>
      <c r="H82" s="209">
        <v>12.13</v>
      </c>
      <c r="I82" s="197">
        <f>ROUND(H82*I$7,2)+H82</f>
        <v>15.33</v>
      </c>
      <c r="J82" s="198">
        <f>ROUND(I82*F82,2)</f>
        <v>2958.69</v>
      </c>
    </row>
    <row r="83" spans="2:10" s="9" customFormat="1" ht="12.75" customHeight="1">
      <c r="B83" s="194" t="str">
        <f>'MEMORIAL DE CÁLCULO'!A98</f>
        <v>4.3.2</v>
      </c>
      <c r="C83" s="195" t="str">
        <f>'MEMORIAL DE CÁLCULO'!B98</f>
        <v>SETOP</v>
      </c>
      <c r="D83" s="195" t="str">
        <f>'MEMORIAL DE CÁLCULO'!C98</f>
        <v>ED-48297</v>
      </c>
      <c r="E83" s="196" t="str">
        <f>'MEMORIAL DE CÁLCULO'!D98</f>
        <v>CORTE, DOBRA E MONTAGEM DE AÇO CA-60 DIÂMETRO (4,2MM A 5,0MM)</v>
      </c>
      <c r="F83" s="197">
        <f>'MEMORIAL DE CÁLCULO'!G98</f>
        <v>87.2</v>
      </c>
      <c r="G83" s="197" t="str">
        <f>'MEMORIAL DE CÁLCULO'!H98</f>
        <v>kg</v>
      </c>
      <c r="H83" s="209">
        <v>13.33</v>
      </c>
      <c r="I83" s="197">
        <f>ROUND(H83*I$7,2)+H83</f>
        <v>16.85</v>
      </c>
      <c r="J83" s="198">
        <f>ROUND(I83*F83,2)</f>
        <v>1469.32</v>
      </c>
    </row>
    <row r="84" spans="2:10" s="9" customFormat="1" ht="12.75" customHeight="1">
      <c r="B84" s="194" t="str">
        <f>'MEMORIAL DE CÁLCULO'!A99</f>
        <v>4.3.3</v>
      </c>
      <c r="C84" s="195" t="str">
        <f>'MEMORIAL DE CÁLCULO'!B99</f>
        <v>SETOP</v>
      </c>
      <c r="D84" s="195" t="str">
        <f>'MEMORIAL DE CÁLCULO'!C99</f>
        <v>ED-49618</v>
      </c>
      <c r="E84" s="196" t="str">
        <f>'MEMORIAL DE CÁLCULO'!D99</f>
        <v>FORNECIMENTO DE CONCRETO ESTRUTURAL, PREPARADO EM OBRA, COM FCK 20 MPA, INCLUSIVE LANÇAMENTO, ADENSAMENTO E ACABAMENTO</v>
      </c>
      <c r="F84" s="197">
        <f>'MEMORIAL DE CÁLCULO'!G99</f>
        <v>3.98</v>
      </c>
      <c r="G84" s="197" t="str">
        <f>'MEMORIAL DE CÁLCULO'!H99</f>
        <v>m³</v>
      </c>
      <c r="H84" s="209">
        <v>531.04</v>
      </c>
      <c r="I84" s="197">
        <f>ROUND(H84*I$7,2)+H84</f>
        <v>671.29</v>
      </c>
      <c r="J84" s="198">
        <f>ROUND(I84*F84,2)</f>
        <v>2671.73</v>
      </c>
    </row>
    <row r="85" spans="2:10" s="9" customFormat="1" ht="13.5" thickBot="1">
      <c r="B85" s="194" t="str">
        <f>'MEMORIAL DE CÁLCULO'!A100</f>
        <v>4.3.4</v>
      </c>
      <c r="C85" s="195" t="str">
        <f>'MEMORIAL DE CÁLCULO'!B100</f>
        <v>SETOP</v>
      </c>
      <c r="D85" s="195" t="str">
        <f>'MEMORIAL DE CÁLCULO'!C100</f>
        <v>ED-8471</v>
      </c>
      <c r="E85" s="196" t="str">
        <f>'MEMORIAL DE CÁLCULO'!D100</f>
        <v>FORMA E DESFORMA DE TÁBUA E SARRAFO, REAPROVEITAMENTO (5X), EXCLUSIVE ESCORAMENTO</v>
      </c>
      <c r="F85" s="197">
        <f>'MEMORIAL DE CÁLCULO'!G100</f>
        <v>13.26</v>
      </c>
      <c r="G85" s="197" t="str">
        <f>'MEMORIAL DE CÁLCULO'!H100</f>
        <v>m²</v>
      </c>
      <c r="H85" s="209">
        <v>37.27</v>
      </c>
      <c r="I85" s="197">
        <f>ROUND(H85*I$7,2)+H85</f>
        <v>47.11</v>
      </c>
      <c r="J85" s="198">
        <f>ROUND(I85*F85,2)</f>
        <v>624.68</v>
      </c>
    </row>
    <row r="86" spans="2:10" ht="18.75" customHeight="1" thickBot="1">
      <c r="B86" s="199" t="s">
        <v>288</v>
      </c>
      <c r="C86" s="379" t="s">
        <v>237</v>
      </c>
      <c r="D86" s="380"/>
      <c r="E86" s="380"/>
      <c r="F86" s="380"/>
      <c r="G86" s="380"/>
      <c r="H86" s="208"/>
      <c r="I86" s="205"/>
      <c r="J86" s="200">
        <f>SUM(J87:J90)</f>
        <v>9338.01</v>
      </c>
    </row>
    <row r="87" spans="2:10" s="9" customFormat="1" ht="12.75">
      <c r="B87" s="194" t="str">
        <f>'MEMORIAL DE CÁLCULO'!A103</f>
        <v>4.4.1</v>
      </c>
      <c r="C87" s="195" t="str">
        <f>'MEMORIAL DE CÁLCULO'!B103</f>
        <v>SETOP</v>
      </c>
      <c r="D87" s="195" t="str">
        <f>'MEMORIAL DE CÁLCULO'!C103</f>
        <v>ED-48295</v>
      </c>
      <c r="E87" s="196" t="str">
        <f>'MEMORIAL DE CÁLCULO'!D103</f>
        <v>CORTE, DOBRA E MONTAGEM DE AÇO CA-50 DIÂMETRO (6,3MM A 12,5MM)</v>
      </c>
      <c r="F87" s="197">
        <f>'MEMORIAL DE CÁLCULO'!G103</f>
        <v>255.2</v>
      </c>
      <c r="G87" s="197" t="str">
        <f>'MEMORIAL DE CÁLCULO'!H103</f>
        <v>kg</v>
      </c>
      <c r="H87" s="209">
        <v>12.13</v>
      </c>
      <c r="I87" s="197">
        <f>ROUND(H87*I$7,2)+H87</f>
        <v>15.33</v>
      </c>
      <c r="J87" s="198">
        <f>ROUND(I87*F87,2)</f>
        <v>3912.22</v>
      </c>
    </row>
    <row r="88" spans="2:10" s="9" customFormat="1" ht="12.75" customHeight="1">
      <c r="B88" s="194" t="str">
        <f>'MEMORIAL DE CÁLCULO'!A104</f>
        <v>4.4.2</v>
      </c>
      <c r="C88" s="195" t="str">
        <f>'MEMORIAL DE CÁLCULO'!B104</f>
        <v>SETOP</v>
      </c>
      <c r="D88" s="195" t="str">
        <f>'MEMORIAL DE CÁLCULO'!C104</f>
        <v>ED-48297</v>
      </c>
      <c r="E88" s="196" t="str">
        <f>'MEMORIAL DE CÁLCULO'!D104</f>
        <v>CORTE, DOBRA E MONTAGEM DE AÇO CA-60 DIÂMETRO (4,2MM A 5,0MM)</v>
      </c>
      <c r="F88" s="197">
        <f>'MEMORIAL DE CÁLCULO'!G104</f>
        <v>77</v>
      </c>
      <c r="G88" s="197" t="str">
        <f>'MEMORIAL DE CÁLCULO'!H104</f>
        <v>kg</v>
      </c>
      <c r="H88" s="209">
        <v>13.33</v>
      </c>
      <c r="I88" s="197">
        <f>ROUND(H88*I$7,2)+H88</f>
        <v>16.85</v>
      </c>
      <c r="J88" s="198">
        <f>ROUND(I88*F88,2)</f>
        <v>1297.45</v>
      </c>
    </row>
    <row r="89" spans="2:10" s="9" customFormat="1" ht="12.75" customHeight="1">
      <c r="B89" s="194" t="str">
        <f>'MEMORIAL DE CÁLCULO'!A105</f>
        <v>4.4.3</v>
      </c>
      <c r="C89" s="195" t="str">
        <f>'MEMORIAL DE CÁLCULO'!B105</f>
        <v>SETOP</v>
      </c>
      <c r="D89" s="195" t="str">
        <f>'MEMORIAL DE CÁLCULO'!C105</f>
        <v>ED-49618</v>
      </c>
      <c r="E89" s="196" t="str">
        <f>'MEMORIAL DE CÁLCULO'!D105</f>
        <v>FORNECIMENTO DE CONCRETO ESTRUTURAL, PREPARADO EM OBRA, COM FCK 20 MPA, INCLUSIVE LANÇAMENTO, ADENSAMENTO E ACABAMENTO</v>
      </c>
      <c r="F89" s="197">
        <f>'MEMORIAL DE CÁLCULO'!G105</f>
        <v>5.18</v>
      </c>
      <c r="G89" s="197" t="str">
        <f>'MEMORIAL DE CÁLCULO'!H105</f>
        <v>m³</v>
      </c>
      <c r="H89" s="209">
        <v>531.04</v>
      </c>
      <c r="I89" s="197">
        <f>ROUND(H89*I$7,2)+H89</f>
        <v>671.29</v>
      </c>
      <c r="J89" s="198">
        <f>ROUND(I89*F89,2)</f>
        <v>3477.28</v>
      </c>
    </row>
    <row r="90" spans="2:10" s="9" customFormat="1" ht="13.5" thickBot="1">
      <c r="B90" s="194" t="str">
        <f>'MEMORIAL DE CÁLCULO'!A106</f>
        <v>4.4.4</v>
      </c>
      <c r="C90" s="195" t="str">
        <f>'MEMORIAL DE CÁLCULO'!B106</f>
        <v>SETOP</v>
      </c>
      <c r="D90" s="195" t="str">
        <f>'MEMORIAL DE CÁLCULO'!C106</f>
        <v>ED-8471</v>
      </c>
      <c r="E90" s="196" t="str">
        <f>'MEMORIAL DE CÁLCULO'!D106</f>
        <v>FORMA E DESFORMA DE TÁBUA E SARRAFO, REAPROVEITAMENTO (5X), EXCLUSIVE ESCORAMENTO</v>
      </c>
      <c r="F90" s="197">
        <f>'MEMORIAL DE CÁLCULO'!G106</f>
        <v>13.82</v>
      </c>
      <c r="G90" s="197" t="str">
        <f>'MEMORIAL DE CÁLCULO'!H106</f>
        <v>m²</v>
      </c>
      <c r="H90" s="209">
        <v>37.27</v>
      </c>
      <c r="I90" s="197">
        <f>ROUND(H90*I$7,2)+H90</f>
        <v>47.11</v>
      </c>
      <c r="J90" s="198">
        <f>ROUND(I90*F90,2)</f>
        <v>651.06</v>
      </c>
    </row>
    <row r="91" spans="2:10" ht="18.75" customHeight="1" thickBot="1">
      <c r="B91" s="199" t="s">
        <v>293</v>
      </c>
      <c r="C91" s="379" t="s">
        <v>303</v>
      </c>
      <c r="D91" s="380"/>
      <c r="E91" s="380"/>
      <c r="F91" s="380"/>
      <c r="G91" s="380"/>
      <c r="H91" s="208"/>
      <c r="I91" s="205"/>
      <c r="J91" s="200">
        <f>SUM(J92:J95)</f>
        <v>2092.02</v>
      </c>
    </row>
    <row r="92" spans="2:10" s="9" customFormat="1" ht="12.75">
      <c r="B92" s="194" t="str">
        <f>'MEMORIAL DE CÁLCULO'!A109</f>
        <v>4.5.1</v>
      </c>
      <c r="C92" s="195" t="str">
        <f>'MEMORIAL DE CÁLCULO'!B109</f>
        <v>SETOP</v>
      </c>
      <c r="D92" s="195" t="str">
        <f>'MEMORIAL DE CÁLCULO'!C109</f>
        <v>ED-48295</v>
      </c>
      <c r="E92" s="196" t="str">
        <f>'MEMORIAL DE CÁLCULO'!D109</f>
        <v>CORTE, DOBRA E MONTAGEM DE AÇO CA-50 DIÂMETRO (6,3MM A 12,5MM)</v>
      </c>
      <c r="F92" s="197">
        <f>'MEMORIAL DE CÁLCULO'!G109</f>
        <v>16.4</v>
      </c>
      <c r="G92" s="197" t="str">
        <f>'MEMORIAL DE CÁLCULO'!H109</f>
        <v>kg</v>
      </c>
      <c r="H92" s="209">
        <v>12.13</v>
      </c>
      <c r="I92" s="197">
        <f>ROUND(H92*I$7,2)+H92</f>
        <v>15.33</v>
      </c>
      <c r="J92" s="198">
        <f>ROUND(I92*F92,2)</f>
        <v>251.41</v>
      </c>
    </row>
    <row r="93" spans="2:10" s="9" customFormat="1" ht="12.75" customHeight="1">
      <c r="B93" s="194" t="str">
        <f>'MEMORIAL DE CÁLCULO'!A110</f>
        <v>4.5.2</v>
      </c>
      <c r="C93" s="195" t="str">
        <f>'MEMORIAL DE CÁLCULO'!B110</f>
        <v>SETOP</v>
      </c>
      <c r="D93" s="195" t="str">
        <f>'MEMORIAL DE CÁLCULO'!C110</f>
        <v>ED-48297</v>
      </c>
      <c r="E93" s="196" t="str">
        <f>'MEMORIAL DE CÁLCULO'!D110</f>
        <v>CORTE, DOBRA E MONTAGEM DE AÇO CA-60 DIÂMETRO (4,2MM A 5,0MM)</v>
      </c>
      <c r="F93" s="197">
        <f>'MEMORIAL DE CÁLCULO'!G110</f>
        <v>57.8</v>
      </c>
      <c r="G93" s="197" t="str">
        <f>'MEMORIAL DE CÁLCULO'!H110</f>
        <v>kg</v>
      </c>
      <c r="H93" s="209">
        <v>13.33</v>
      </c>
      <c r="I93" s="197">
        <f>ROUND(H93*I$7,2)+H93</f>
        <v>16.85</v>
      </c>
      <c r="J93" s="198">
        <f>ROUND(I93*F93,2)</f>
        <v>973.93</v>
      </c>
    </row>
    <row r="94" spans="2:10" s="9" customFormat="1" ht="12.75" customHeight="1">
      <c r="B94" s="194" t="str">
        <f>'MEMORIAL DE CÁLCULO'!A111</f>
        <v>4.5.3</v>
      </c>
      <c r="C94" s="195" t="str">
        <f>'MEMORIAL DE CÁLCULO'!B111</f>
        <v>SETOP</v>
      </c>
      <c r="D94" s="195" t="str">
        <f>'MEMORIAL DE CÁLCULO'!C111</f>
        <v>ED-49618</v>
      </c>
      <c r="E94" s="196" t="str">
        <f>'MEMORIAL DE CÁLCULO'!D111</f>
        <v>FORNECIMENTO DE CONCRETO ESTRUTURAL, PREPARADO EM OBRA, COM FCK 20 MPA, INCLUSIVE LANÇAMENTO, ADENSAMENTO E ACABAMENTO</v>
      </c>
      <c r="F94" s="197">
        <f>'MEMORIAL DE CÁLCULO'!G111</f>
        <v>1.07</v>
      </c>
      <c r="G94" s="197" t="str">
        <f>'MEMORIAL DE CÁLCULO'!H111</f>
        <v>m³</v>
      </c>
      <c r="H94" s="209">
        <v>531.04</v>
      </c>
      <c r="I94" s="197">
        <f>ROUND(H94*I$7,2)+H94</f>
        <v>671.29</v>
      </c>
      <c r="J94" s="198">
        <f>ROUND(I94*F94,2)</f>
        <v>718.28</v>
      </c>
    </row>
    <row r="95" spans="2:10" s="9" customFormat="1" ht="13.5" thickBot="1">
      <c r="B95" s="194" t="str">
        <f>'MEMORIAL DE CÁLCULO'!A112</f>
        <v>4.5.4</v>
      </c>
      <c r="C95" s="195" t="str">
        <f>'MEMORIAL DE CÁLCULO'!B112</f>
        <v>SETOP</v>
      </c>
      <c r="D95" s="195" t="str">
        <f>'MEMORIAL DE CÁLCULO'!C112</f>
        <v>ED-8471</v>
      </c>
      <c r="E95" s="196" t="str">
        <f>'MEMORIAL DE CÁLCULO'!D112</f>
        <v>FORMA E DESFORMA DE TÁBUA E SARRAFO, REAPROVEITAMENTO (5X), EXCLUSIVE ESCORAMENTO</v>
      </c>
      <c r="F95" s="197">
        <f>'MEMORIAL DE CÁLCULO'!G112</f>
        <v>3.15</v>
      </c>
      <c r="G95" s="197" t="str">
        <f>'MEMORIAL DE CÁLCULO'!H112</f>
        <v>m²</v>
      </c>
      <c r="H95" s="209">
        <v>37.27</v>
      </c>
      <c r="I95" s="197">
        <f>ROUND(H95*I$7,2)+H95</f>
        <v>47.11</v>
      </c>
      <c r="J95" s="198">
        <f>ROUND(I95*F95,2)</f>
        <v>148.4</v>
      </c>
    </row>
    <row r="96" spans="2:10" ht="18.75" customHeight="1" thickBot="1">
      <c r="B96" s="199" t="s">
        <v>295</v>
      </c>
      <c r="C96" s="379" t="s">
        <v>258</v>
      </c>
      <c r="D96" s="380"/>
      <c r="E96" s="380"/>
      <c r="F96" s="380"/>
      <c r="G96" s="380"/>
      <c r="H96" s="208"/>
      <c r="I96" s="205"/>
      <c r="J96" s="200">
        <f>SUM(J97:J97)</f>
        <v>3426.08</v>
      </c>
    </row>
    <row r="97" spans="2:10" s="9" customFormat="1" ht="23.25" thickBot="1">
      <c r="B97" s="194" t="str">
        <f>'MEMORIAL DE CÁLCULO'!A115</f>
        <v>4.6.1</v>
      </c>
      <c r="C97" s="195" t="str">
        <f>'MEMORIAL DE CÁLCULO'!B115</f>
        <v>SINAPI</v>
      </c>
      <c r="D97" s="195">
        <f>'MEMORIAL DE CÁLCULO'!C115</f>
        <v>102073</v>
      </c>
      <c r="E97" s="196" t="str">
        <f>'MEMORIAL DE CÁLCULO'!D115</f>
        <v>ESCADA EM CONCRETO ARMADO MOLDADO IN LOCO, FCK 20 MPA, COM 1 LANCE E LAJE PLANA, FÔRMA EM CHAPA DE MADEIRA COMPENSADA RESINADA. AF_11/2020</v>
      </c>
      <c r="F97" s="197">
        <f>'MEMORIAL DE CÁLCULO'!G115</f>
        <v>0.86</v>
      </c>
      <c r="G97" s="197" t="str">
        <f>'MEMORIAL DE CÁLCULO'!H115</f>
        <v>m³</v>
      </c>
      <c r="H97" s="209">
        <v>3151.5</v>
      </c>
      <c r="I97" s="197">
        <f>ROUND(H97*I$7,2)+H97</f>
        <v>3983.81</v>
      </c>
      <c r="J97" s="198">
        <f>ROUND(I97*F97,2)</f>
        <v>3426.08</v>
      </c>
    </row>
    <row r="98" spans="2:10" ht="18.75" customHeight="1" thickBot="1">
      <c r="B98" s="199" t="s">
        <v>297</v>
      </c>
      <c r="C98" s="379" t="s">
        <v>94</v>
      </c>
      <c r="D98" s="380"/>
      <c r="E98" s="380"/>
      <c r="F98" s="380"/>
      <c r="G98" s="380"/>
      <c r="H98" s="208"/>
      <c r="I98" s="205"/>
      <c r="J98" s="200">
        <f>SUM(J99:J99)</f>
        <v>7868.7</v>
      </c>
    </row>
    <row r="99" spans="2:10" s="9" customFormat="1" ht="12.75" customHeight="1" thickBot="1">
      <c r="B99" s="194" t="str">
        <f>'MEMORIAL DE CÁLCULO'!A118</f>
        <v>4.7.1</v>
      </c>
      <c r="C99" s="195" t="str">
        <f>'MEMORIAL DE CÁLCULO'!B118</f>
        <v>SETOP</v>
      </c>
      <c r="D99" s="195" t="str">
        <f>'MEMORIAL DE CÁLCULO'!C118</f>
        <v>ED-48195</v>
      </c>
      <c r="E99" s="196" t="str">
        <f>'MEMORIAL DE CÁLCULO'!D118</f>
        <v>ALVENARIA DE VEDAÇÃO COM BLOCO DE CONCRETO, ESP. 14CM, COM ACABAMENTO APARENTE, INCLUSIVE ARGAMASSA PARA ASSENTAMENTO</v>
      </c>
      <c r="F99" s="197">
        <f>'MEMORIAL DE CÁLCULO'!G118</f>
        <v>138.29</v>
      </c>
      <c r="G99" s="197" t="str">
        <f>'MEMORIAL DE CÁLCULO'!H118</f>
        <v>m²</v>
      </c>
      <c r="H99" s="209">
        <v>45.01</v>
      </c>
      <c r="I99" s="197">
        <f>ROUND(H99*I$7,2)+H99</f>
        <v>56.9</v>
      </c>
      <c r="J99" s="198">
        <f>ROUND(I99*F99,2)</f>
        <v>7868.7</v>
      </c>
    </row>
    <row r="100" spans="2:10" ht="18.75" customHeight="1" thickBot="1">
      <c r="B100" s="199" t="s">
        <v>299</v>
      </c>
      <c r="C100" s="379" t="s">
        <v>257</v>
      </c>
      <c r="D100" s="380"/>
      <c r="E100" s="380"/>
      <c r="F100" s="380"/>
      <c r="G100" s="380"/>
      <c r="H100" s="208"/>
      <c r="I100" s="205"/>
      <c r="J100" s="200">
        <f>SUM(J101:J101)</f>
        <v>1220.43</v>
      </c>
    </row>
    <row r="101" spans="2:10" s="9" customFormat="1" ht="13.5" thickBot="1">
      <c r="B101" s="194" t="str">
        <f>'MEMORIAL DE CÁLCULO'!A121</f>
        <v>4.8.1</v>
      </c>
      <c r="C101" s="195" t="str">
        <f>'MEMORIAL DE CÁLCULO'!B121</f>
        <v>SINAPI</v>
      </c>
      <c r="D101" s="195">
        <f>'MEMORIAL DE CÁLCULO'!C121</f>
        <v>99855</v>
      </c>
      <c r="E101" s="196" t="str">
        <f>'MEMORIAL DE CÁLCULO'!D121</f>
        <v>CORRIMÃO SIMPLES, DIÂMETRO EXTERNO = 1 1/2", EM AÇO GALVANIZADO. AF_04/2019_P</v>
      </c>
      <c r="F101" s="197">
        <f>'MEMORIAL DE CÁLCULO'!G121</f>
        <v>8.6</v>
      </c>
      <c r="G101" s="197" t="str">
        <f>'MEMORIAL DE CÁLCULO'!H121</f>
        <v>m</v>
      </c>
      <c r="H101" s="209">
        <v>112.26</v>
      </c>
      <c r="I101" s="197">
        <f>ROUND(H101*I$7,2)+H101</f>
        <v>141.91</v>
      </c>
      <c r="J101" s="198">
        <f>ROUND(I101*F101,2)</f>
        <v>1220.43</v>
      </c>
    </row>
    <row r="102" spans="2:10" ht="18.75" customHeight="1" thickBot="1">
      <c r="B102" s="199" t="s">
        <v>301</v>
      </c>
      <c r="C102" s="379" t="s">
        <v>260</v>
      </c>
      <c r="D102" s="380"/>
      <c r="E102" s="380"/>
      <c r="F102" s="380"/>
      <c r="G102" s="380"/>
      <c r="H102" s="208"/>
      <c r="I102" s="205"/>
      <c r="J102" s="200">
        <f>SUM(J103:J106)</f>
        <v>5470.76</v>
      </c>
    </row>
    <row r="103" spans="2:10" s="9" customFormat="1" ht="12.75">
      <c r="B103" s="194" t="str">
        <f>'MEMORIAL DE CÁLCULO'!A124</f>
        <v>4.9.1</v>
      </c>
      <c r="C103" s="195" t="str">
        <f>'MEMORIAL DE CÁLCULO'!B124</f>
        <v>SETOP</v>
      </c>
      <c r="D103" s="195" t="str">
        <f>'MEMORIAL DE CÁLCULO'!C124</f>
        <v>ED-50600</v>
      </c>
      <c r="E103" s="196" t="str">
        <f>'MEMORIAL DE CÁLCULO'!D124</f>
        <v>APLICAÇÃO DE LONA PRETA, ESP. 150 MICRAS, INCLUSIVE FORNECIMENTO</v>
      </c>
      <c r="F103" s="197">
        <f>'MEMORIAL DE CÁLCULO'!G124</f>
        <v>194.99</v>
      </c>
      <c r="G103" s="197" t="str">
        <f>'MEMORIAL DE CÁLCULO'!H124</f>
        <v>m²</v>
      </c>
      <c r="H103" s="209">
        <v>2.36</v>
      </c>
      <c r="I103" s="197">
        <f>ROUND(H103*I$7,2)+H103</f>
        <v>2.98</v>
      </c>
      <c r="J103" s="198">
        <f>ROUND(I103*F103,2)</f>
        <v>581.07</v>
      </c>
    </row>
    <row r="104" spans="2:10" s="9" customFormat="1" ht="22.5">
      <c r="B104" s="194" t="str">
        <f>'MEMORIAL DE CÁLCULO'!A125</f>
        <v>4.9.2</v>
      </c>
      <c r="C104" s="195" t="str">
        <f>'MEMORIAL DE CÁLCULO'!B125</f>
        <v>SINAPI</v>
      </c>
      <c r="D104" s="195">
        <f>'MEMORIAL DE CÁLCULO'!C125</f>
        <v>94995</v>
      </c>
      <c r="E104" s="196" t="str">
        <f>'MEMORIAL DE CÁLCULO'!D125</f>
        <v>EXECUÇÃO DE PASSEIO (CALÇADA) OU PISO DE CONCRETO COM CONCRETO MOLDADO IN LOCO, USINADO, ACABAMENTO CONVENCIONAL, ESPESSURA 8 CM, ARMADO. AF_07/2016</v>
      </c>
      <c r="F104" s="197">
        <f>'MEMORIAL DE CÁLCULO'!G125</f>
        <v>15.6</v>
      </c>
      <c r="G104" s="197" t="str">
        <f>'MEMORIAL DE CÁLCULO'!H125</f>
        <v>m²</v>
      </c>
      <c r="H104" s="209">
        <v>97.94</v>
      </c>
      <c r="I104" s="197">
        <f>ROUND(H104*I$7,2)+H104</f>
        <v>123.81</v>
      </c>
      <c r="J104" s="198">
        <f>ROUND(I104*F104,2)</f>
        <v>1931.44</v>
      </c>
    </row>
    <row r="105" spans="2:10" s="9" customFormat="1" ht="22.5">
      <c r="B105" s="194" t="str">
        <f>'MEMORIAL DE CÁLCULO'!A126</f>
        <v>4.9.3</v>
      </c>
      <c r="C105" s="195" t="str">
        <f>'MEMORIAL DE CÁLCULO'!B126</f>
        <v>SINAPI</v>
      </c>
      <c r="D105" s="195">
        <f>'MEMORIAL DE CÁLCULO'!C126</f>
        <v>96385</v>
      </c>
      <c r="E105" s="196" t="str">
        <f>'MEMORIAL DE CÁLCULO'!D126</f>
        <v>EXECUÇÃO E COMPACTAÇÃO DE ATERRO COM SOLO PREDOMINANTEMENTE ARGILOSO -EXCLUSIVE SOLO, ESCAVAÇÃO, CARGA E TRANSPORTE. AF_11/2019</v>
      </c>
      <c r="F105" s="197">
        <f>'MEMORIAL DE CÁLCULO'!G126</f>
        <v>260.2</v>
      </c>
      <c r="G105" s="197" t="str">
        <f>'MEMORIAL DE CÁLCULO'!H126</f>
        <v>m³</v>
      </c>
      <c r="H105" s="209">
        <v>8.35</v>
      </c>
      <c r="I105" s="197">
        <f>ROUND(H105*I$7,2)+H105</f>
        <v>10.56</v>
      </c>
      <c r="J105" s="198">
        <f>ROUND(I105*F105,2)</f>
        <v>2747.71</v>
      </c>
    </row>
    <row r="106" spans="2:10" s="9" customFormat="1" ht="13.5" thickBot="1">
      <c r="B106" s="194" t="str">
        <f>'MEMORIAL DE CÁLCULO'!A127</f>
        <v>4.9.4</v>
      </c>
      <c r="C106" s="195" t="str">
        <f>'MEMORIAL DE CÁLCULO'!B127</f>
        <v>SETOP</v>
      </c>
      <c r="D106" s="195" t="str">
        <f>'MEMORIAL DE CÁLCULO'!C127</f>
        <v>RO-40211</v>
      </c>
      <c r="E106" s="196" t="str">
        <f>'MEMORIAL DE CÁLCULO'!D127</f>
        <v>ESCAVAÇÃO MANUAL DE VALAS EM SOLO, COM ALTURA DE 0 A 1,50 M</v>
      </c>
      <c r="F106" s="197">
        <f>'MEMORIAL DE CÁLCULO'!G127</f>
        <v>3.36</v>
      </c>
      <c r="G106" s="197" t="str">
        <f>'MEMORIAL DE CÁLCULO'!H127</f>
        <v>m³</v>
      </c>
      <c r="H106" s="209">
        <v>49.57</v>
      </c>
      <c r="I106" s="197">
        <f>ROUND(H106*I$7,2)+H106</f>
        <v>62.66</v>
      </c>
      <c r="J106" s="198">
        <f>ROUND(I106*F106,2)</f>
        <v>210.54</v>
      </c>
    </row>
    <row r="107" spans="2:10" ht="18.75" customHeight="1" thickBot="1">
      <c r="B107" s="199" t="s">
        <v>311</v>
      </c>
      <c r="C107" s="379" t="s">
        <v>193</v>
      </c>
      <c r="D107" s="380"/>
      <c r="E107" s="380"/>
      <c r="F107" s="380"/>
      <c r="G107" s="380"/>
      <c r="H107" s="208"/>
      <c r="I107" s="205"/>
      <c r="J107" s="200">
        <f>SUM(J108:J108)</f>
        <v>1874.27</v>
      </c>
    </row>
    <row r="108" spans="2:10" s="9" customFormat="1" ht="23.25" thickBot="1">
      <c r="B108" s="194" t="str">
        <f>'MEMORIAL DE CÁLCULO'!A130</f>
        <v>4.10.1</v>
      </c>
      <c r="C108" s="195" t="str">
        <f>'MEMORIAL DE CÁLCULO'!B130</f>
        <v>SETOP</v>
      </c>
      <c r="D108" s="195" t="str">
        <f>'MEMORIAL DE CÁLCULO'!C130</f>
        <v>ED-50847</v>
      </c>
      <c r="E108" s="196" t="str">
        <f>'MEMORIAL DE CÁLCULO'!D130</f>
        <v>LAJE MACIÇA 15 CM DE CONCRETO 13,5 MPA COM ADITIVO IMPERMEABILIZANTE, ARMAÇÃO, FORMA , DESFORMA ( FUNDO CAIXA DÁGUA E COBERTURA)</v>
      </c>
      <c r="F108" s="197">
        <f>'MEMORIAL DE CÁLCULO'!G130</f>
        <v>6.91</v>
      </c>
      <c r="G108" s="197" t="str">
        <f>'MEMORIAL DE CÁLCULO'!H130</f>
        <v>m²</v>
      </c>
      <c r="H108" s="209">
        <v>214.57</v>
      </c>
      <c r="I108" s="197">
        <f>ROUND(H108*I$7,2)+H108</f>
        <v>271.24</v>
      </c>
      <c r="J108" s="198">
        <f>ROUND(I108*F108,2)</f>
        <v>1874.27</v>
      </c>
    </row>
    <row r="109" spans="2:10" ht="18.75" customHeight="1" thickBot="1">
      <c r="B109" s="199" t="s">
        <v>313</v>
      </c>
      <c r="C109" s="379" t="s">
        <v>96</v>
      </c>
      <c r="D109" s="380"/>
      <c r="E109" s="380"/>
      <c r="F109" s="380"/>
      <c r="G109" s="380"/>
      <c r="H109" s="208"/>
      <c r="I109" s="205"/>
      <c r="J109" s="200">
        <f>SUM(J110:J110)</f>
        <v>349.94</v>
      </c>
    </row>
    <row r="110" spans="2:10" s="9" customFormat="1" ht="13.5" thickBot="1">
      <c r="B110" s="194" t="str">
        <f>'MEMORIAL DE CÁLCULO'!A133</f>
        <v>4.11.1</v>
      </c>
      <c r="C110" s="195" t="str">
        <f>'MEMORIAL DE CÁLCULO'!B133</f>
        <v>SETOP</v>
      </c>
      <c r="D110" s="195" t="str">
        <f>'MEMORIAL DE CÁLCULO'!C133</f>
        <v>ED-9917</v>
      </c>
      <c r="E110" s="196" t="str">
        <f>'MEMORIAL DE CÁLCULO'!D133</f>
        <v>PINTURA EPÓXI EM PAREDE, DUAS (2) DEMÃOS, EXCLUSIVE SELADOR ACRÍLICO E MASSA ACRÍLICA/CORRIDA (PVA) </v>
      </c>
      <c r="F110" s="197">
        <f>'MEMORIAL DE CÁLCULO'!G133</f>
        <v>12.48</v>
      </c>
      <c r="G110" s="197" t="str">
        <f>'MEMORIAL DE CÁLCULO'!H133</f>
        <v>m²</v>
      </c>
      <c r="H110" s="209">
        <v>22.18</v>
      </c>
      <c r="I110" s="197">
        <f>ROUND(H110*I$7,2)+H110</f>
        <v>28.04</v>
      </c>
      <c r="J110" s="198">
        <f>ROUND(I110*F110,2)</f>
        <v>349.94</v>
      </c>
    </row>
    <row r="111" spans="2:10" ht="18.75" customHeight="1" thickBot="1">
      <c r="B111" s="199" t="s">
        <v>353</v>
      </c>
      <c r="C111" s="379" t="s">
        <v>357</v>
      </c>
      <c r="D111" s="380"/>
      <c r="E111" s="380"/>
      <c r="F111" s="380"/>
      <c r="G111" s="380"/>
      <c r="H111" s="208"/>
      <c r="I111" s="205"/>
      <c r="J111" s="200">
        <f>SUM(J112:J112)</f>
        <v>5524.66</v>
      </c>
    </row>
    <row r="112" spans="2:10" s="9" customFormat="1" ht="13.5" thickBot="1">
      <c r="B112" s="194" t="str">
        <f>'MEMORIAL DE CÁLCULO'!A136</f>
        <v>4.12.1</v>
      </c>
      <c r="C112" s="195" t="str">
        <f>'MEMORIAL DE CÁLCULO'!B136</f>
        <v>SINAPI</v>
      </c>
      <c r="D112" s="195">
        <f>'MEMORIAL DE CÁLCULO'!C136</f>
        <v>98557</v>
      </c>
      <c r="E112" s="196" t="str">
        <f>'MEMORIAL DE CÁLCULO'!D136</f>
        <v>IMPERMEABILIZAÇÃO DE SUPERFÍCIE COM EMULSÃO ASFÁLTICA, 2 DEMÃOS AF_06/2018</v>
      </c>
      <c r="F112" s="197">
        <f>'MEMORIAL DE CÁLCULO'!G136</f>
        <v>128.72</v>
      </c>
      <c r="G112" s="197" t="str">
        <f>'MEMORIAL DE CÁLCULO'!H136</f>
        <v>m²</v>
      </c>
      <c r="H112" s="209">
        <v>33.95</v>
      </c>
      <c r="I112" s="197">
        <f>ROUND(H112*I$7,2)+H112</f>
        <v>42.92</v>
      </c>
      <c r="J112" s="198">
        <f>ROUND(I112*F112,2)</f>
        <v>5524.66</v>
      </c>
    </row>
    <row r="113" spans="2:10" ht="18.75" customHeight="1" thickBot="1">
      <c r="B113" s="199" t="s">
        <v>375</v>
      </c>
      <c r="C113" s="379" t="s">
        <v>400</v>
      </c>
      <c r="D113" s="380"/>
      <c r="E113" s="380"/>
      <c r="F113" s="380"/>
      <c r="G113" s="380"/>
      <c r="H113" s="208"/>
      <c r="I113" s="205"/>
      <c r="J113" s="200">
        <f>SUM(J114:J118)</f>
        <v>2216</v>
      </c>
    </row>
    <row r="114" spans="2:10" s="9" customFormat="1" ht="22.5">
      <c r="B114" s="194" t="str">
        <f>'MEMORIAL DE CÁLCULO'!A139</f>
        <v>4.13.1</v>
      </c>
      <c r="C114" s="195" t="str">
        <f>'MEMORIAL DE CÁLCULO'!B139</f>
        <v>SINAPI</v>
      </c>
      <c r="D114" s="195">
        <f>'MEMORIAL DE CÁLCULO'!C139</f>
        <v>91467</v>
      </c>
      <c r="E114" s="196" t="str">
        <f>'MEMORIAL DE CÁLCULO'!D139</f>
        <v>GUINDAUTO HIDRÁULICO, CAPACIDADE MÁXIMA DE CARGA 6200 KG, MOMENTO MÁXIMO DE CARGA 11,7 TM, ALCANCE MÁXIMO HORIZONTAL 9,70 M, INCLUSIVE CAMIN HÃO TOCO PBT 16.000 KG, POTÊNCIA DE 189 CV - MATERIAIS NA OPERAÇÃO. AF_08/2015</v>
      </c>
      <c r="F114" s="197">
        <f>'MEMORIAL DE CÁLCULO'!G139</f>
        <v>8</v>
      </c>
      <c r="G114" s="197" t="str">
        <f>'MEMORIAL DE CÁLCULO'!H139</f>
        <v>h</v>
      </c>
      <c r="H114" s="209">
        <v>140.6</v>
      </c>
      <c r="I114" s="197">
        <f>ROUND(H114*I$7,2)+H114</f>
        <v>177.73</v>
      </c>
      <c r="J114" s="198">
        <f>ROUND(I114*F114,2)</f>
        <v>1421.84</v>
      </c>
    </row>
    <row r="115" spans="2:10" s="9" customFormat="1" ht="12.75">
      <c r="B115" s="194" t="str">
        <f>'MEMORIAL DE CÁLCULO'!A140</f>
        <v>4.13.2</v>
      </c>
      <c r="C115" s="195" t="str">
        <f>'MEMORIAL DE CÁLCULO'!B140</f>
        <v>SINAPI</v>
      </c>
      <c r="D115" s="195" t="str">
        <f>'MEMORIAL DE CÁLCULO'!C140</f>
        <v>88286</v>
      </c>
      <c r="E115" s="196" t="str">
        <f>'MEMORIAL DE CÁLCULO'!D140</f>
        <v>MOTORISTA OPERADOR DE MUNCK COM ENCARGOS COMPLEMENTARES</v>
      </c>
      <c r="F115" s="197">
        <f>'MEMORIAL DE CÁLCULO'!G140</f>
        <v>8</v>
      </c>
      <c r="G115" s="197" t="str">
        <f>'MEMORIAL DE CÁLCULO'!H140</f>
        <v>h</v>
      </c>
      <c r="H115" s="209">
        <v>19.84</v>
      </c>
      <c r="I115" s="197">
        <f>ROUND(H115*I$7,2)+H115</f>
        <v>25.08</v>
      </c>
      <c r="J115" s="198">
        <f>ROUND(I115*F115,2)</f>
        <v>200.64</v>
      </c>
    </row>
    <row r="116" spans="2:10" s="9" customFormat="1" ht="12.75">
      <c r="B116" s="194" t="str">
        <f>'MEMORIAL DE CÁLCULO'!A141</f>
        <v>4.13.3</v>
      </c>
      <c r="C116" s="195" t="str">
        <f>'MEMORIAL DE CÁLCULO'!B141</f>
        <v>SINAPI</v>
      </c>
      <c r="D116" s="195">
        <f>'MEMORIAL DE CÁLCULO'!C141</f>
        <v>88297</v>
      </c>
      <c r="E116" s="196" t="str">
        <f>'MEMORIAL DE CÁLCULO'!D141</f>
        <v>OPERADOR DE MÁQUINAS E EQUIPAMENTOS COM ENCARGOS COMPLEMENTARES</v>
      </c>
      <c r="F116" s="197">
        <f>'MEMORIAL DE CÁLCULO'!G141</f>
        <v>8</v>
      </c>
      <c r="G116" s="197" t="str">
        <f>'MEMORIAL DE CÁLCULO'!H141</f>
        <v>h</v>
      </c>
      <c r="H116" s="209">
        <v>19.86</v>
      </c>
      <c r="I116" s="197">
        <f>ROUND(H116*I$7,2)+H116</f>
        <v>25.11</v>
      </c>
      <c r="J116" s="198">
        <f>ROUND(I116*F116,2)</f>
        <v>200.88</v>
      </c>
    </row>
    <row r="117" spans="2:10" s="9" customFormat="1" ht="12.75">
      <c r="B117" s="194" t="str">
        <f>'MEMORIAL DE CÁLCULO'!A142</f>
        <v>4.13.4</v>
      </c>
      <c r="C117" s="195" t="str">
        <f>'MEMORIAL DE CÁLCULO'!B142</f>
        <v>SINAPI</v>
      </c>
      <c r="D117" s="195">
        <f>'MEMORIAL DE CÁLCULO'!C142</f>
        <v>88277</v>
      </c>
      <c r="E117" s="196" t="str">
        <f>'MEMORIAL DE CÁLCULO'!D142</f>
        <v>MONTADOR (TUBO AÇO/EQUIPAMENTOS) COM ENCARGOS COMPLEMENTARES</v>
      </c>
      <c r="F117" s="197">
        <f>'MEMORIAL DE CÁLCULO'!G142</f>
        <v>8</v>
      </c>
      <c r="G117" s="197" t="str">
        <f>'MEMORIAL DE CÁLCULO'!H142</f>
        <v>h</v>
      </c>
      <c r="H117" s="209">
        <v>20.81</v>
      </c>
      <c r="I117" s="197">
        <f>ROUND(H117*I$7,2)+H117</f>
        <v>26.31</v>
      </c>
      <c r="J117" s="198">
        <f>ROUND(I117*F117,2)</f>
        <v>210.48</v>
      </c>
    </row>
    <row r="118" spans="2:10" s="9" customFormat="1" ht="13.5" thickBot="1">
      <c r="B118" s="194" t="str">
        <f>'MEMORIAL DE CÁLCULO'!A143</f>
        <v>4.13.5</v>
      </c>
      <c r="C118" s="195" t="str">
        <f>'MEMORIAL DE CÁLCULO'!B143</f>
        <v>SINAPI</v>
      </c>
      <c r="D118" s="195">
        <f>'MEMORIAL DE CÁLCULO'!C143</f>
        <v>88243</v>
      </c>
      <c r="E118" s="196" t="str">
        <f>'MEMORIAL DE CÁLCULO'!D143</f>
        <v>AJUDANTE ESPECIALIZADO COM ENCARGOS COMPLEMENTARES</v>
      </c>
      <c r="F118" s="197">
        <f>'MEMORIAL DE CÁLCULO'!G143</f>
        <v>8</v>
      </c>
      <c r="G118" s="197" t="str">
        <f>'MEMORIAL DE CÁLCULO'!H143</f>
        <v>h</v>
      </c>
      <c r="H118" s="209">
        <v>18.01</v>
      </c>
      <c r="I118" s="197">
        <f>ROUND(H118*I$7,2)+H118</f>
        <v>22.77</v>
      </c>
      <c r="J118" s="198">
        <f>ROUND(I118*F118,2)</f>
        <v>182.16</v>
      </c>
    </row>
    <row r="119" spans="2:10" ht="18.75" customHeight="1" thickBot="1">
      <c r="B119" s="199" t="s">
        <v>392</v>
      </c>
      <c r="C119" s="379" t="s">
        <v>403</v>
      </c>
      <c r="D119" s="380"/>
      <c r="E119" s="380"/>
      <c r="F119" s="380"/>
      <c r="G119" s="380"/>
      <c r="H119" s="208"/>
      <c r="I119" s="205"/>
      <c r="J119" s="200">
        <f>SUM(J120:J126)</f>
        <v>16500.2</v>
      </c>
    </row>
    <row r="120" spans="2:10" s="9" customFormat="1" ht="12.75">
      <c r="B120" s="194" t="str">
        <f>'MEMORIAL DE CÁLCULO'!A146</f>
        <v>4.14.1</v>
      </c>
      <c r="C120" s="195" t="str">
        <f>'MEMORIAL DE CÁLCULO'!B146</f>
        <v>SETOP</v>
      </c>
      <c r="D120" s="195" t="str">
        <f>'MEMORIAL DE CÁLCULO'!C146</f>
        <v>ED-48295</v>
      </c>
      <c r="E120" s="196" t="str">
        <f>'MEMORIAL DE CÁLCULO'!D146</f>
        <v>CORTE, DOBRA E MONTAGEM DE AÇO CA-50 DIÂMETRO (6,3MM A 12,5MM)</v>
      </c>
      <c r="F120" s="197">
        <f>'MEMORIAL DE CÁLCULO'!G146</f>
        <v>152</v>
      </c>
      <c r="G120" s="197" t="str">
        <f>'MEMORIAL DE CÁLCULO'!H146</f>
        <v>kg</v>
      </c>
      <c r="H120" s="209">
        <v>12.13</v>
      </c>
      <c r="I120" s="197">
        <f>ROUND(H120*I$7,2)+H120</f>
        <v>15.33</v>
      </c>
      <c r="J120" s="198">
        <f aca="true" t="shared" si="10" ref="J120:J126">ROUND(I120*F120,2)</f>
        <v>2330.16</v>
      </c>
    </row>
    <row r="121" spans="2:10" s="9" customFormat="1" ht="13.5" customHeight="1">
      <c r="B121" s="194" t="str">
        <f>'MEMORIAL DE CÁLCULO'!A147</f>
        <v>4.14.2</v>
      </c>
      <c r="C121" s="195" t="str">
        <f>'MEMORIAL DE CÁLCULO'!B147</f>
        <v>SETOP</v>
      </c>
      <c r="D121" s="195" t="str">
        <f>'MEMORIAL DE CÁLCULO'!C147</f>
        <v>ED-49618</v>
      </c>
      <c r="E121" s="196" t="str">
        <f>'MEMORIAL DE CÁLCULO'!D147</f>
        <v>FORNECIMENTO DE CONCRETO ESTRUTURAL, PREPARADO EM OBRA, COM FCK 20 MPA, INCLUSIVE LANÇAMENTO, ADENSAMENTO E ACABAMENTO</v>
      </c>
      <c r="F121" s="197">
        <f>'MEMORIAL DE CÁLCULO'!G147</f>
        <v>2.24</v>
      </c>
      <c r="G121" s="197" t="str">
        <f>'MEMORIAL DE CÁLCULO'!H147</f>
        <v>m³</v>
      </c>
      <c r="H121" s="209">
        <v>531.04</v>
      </c>
      <c r="I121" s="197">
        <f aca="true" t="shared" si="11" ref="I121:I126">ROUND(H121*I$7,2)+H121</f>
        <v>671.29</v>
      </c>
      <c r="J121" s="198">
        <f t="shared" si="10"/>
        <v>1503.69</v>
      </c>
    </row>
    <row r="122" spans="2:10" s="9" customFormat="1" ht="12.75">
      <c r="B122" s="194" t="str">
        <f>'MEMORIAL DE CÁLCULO'!A148</f>
        <v>4.14.3</v>
      </c>
      <c r="C122" s="195" t="str">
        <f>'MEMORIAL DE CÁLCULO'!B148</f>
        <v>SETOP</v>
      </c>
      <c r="D122" s="195" t="str">
        <f>'MEMORIAL DE CÁLCULO'!C148</f>
        <v>ED-8471</v>
      </c>
      <c r="E122" s="196" t="str">
        <f>'MEMORIAL DE CÁLCULO'!D148</f>
        <v>FORMA E DESFORMA DE TÁBUA E SARRAFO, REAPROVEITAMENTO (5X), EXCLUSIVE ESCORAMENTO</v>
      </c>
      <c r="F122" s="197">
        <f>'MEMORIAL DE CÁLCULO'!G148</f>
        <v>5.58</v>
      </c>
      <c r="G122" s="197" t="str">
        <f>'MEMORIAL DE CÁLCULO'!H148</f>
        <v>m²</v>
      </c>
      <c r="H122" s="209">
        <v>37.27</v>
      </c>
      <c r="I122" s="197">
        <f t="shared" si="11"/>
        <v>47.11</v>
      </c>
      <c r="J122" s="198">
        <f t="shared" si="10"/>
        <v>262.87</v>
      </c>
    </row>
    <row r="123" spans="2:10" s="9" customFormat="1" ht="22.5">
      <c r="B123" s="194" t="str">
        <f>'MEMORIAL DE CÁLCULO'!A149</f>
        <v>4.14.4</v>
      </c>
      <c r="C123" s="195" t="str">
        <f>'MEMORIAL DE CÁLCULO'!B149</f>
        <v>SINAPI</v>
      </c>
      <c r="D123" s="195" t="str">
        <f>'MEMORIAL DE CÁLCULO'!C149</f>
        <v>101173 </v>
      </c>
      <c r="E123" s="196" t="str">
        <f>'MEMORIAL DE CÁLCULO'!D149</f>
        <v>ESTACA BROCA DE CONCRETO, DIÂMETRO DE 20CM, ESCAVAÇÃO MANUAL COM TRADO CONCHA, COM ARMADURA DE ARRANQUE. AF_05/2020</v>
      </c>
      <c r="F123" s="197">
        <f>'MEMORIAL DE CÁLCULO'!G149</f>
        <v>40</v>
      </c>
      <c r="G123" s="197" t="str">
        <f>'MEMORIAL DE CÁLCULO'!H149</f>
        <v>m</v>
      </c>
      <c r="H123" s="209">
        <v>51.17</v>
      </c>
      <c r="I123" s="197">
        <f t="shared" si="11"/>
        <v>64.68</v>
      </c>
      <c r="J123" s="198">
        <f t="shared" si="10"/>
        <v>2587.2</v>
      </c>
    </row>
    <row r="124" spans="2:10" s="9" customFormat="1" ht="12.75">
      <c r="B124" s="194" t="str">
        <f>'MEMORIAL DE CÁLCULO'!A150</f>
        <v>4.14.5</v>
      </c>
      <c r="C124" s="195" t="str">
        <f>'MEMORIAL DE CÁLCULO'!B150</f>
        <v>SETOP</v>
      </c>
      <c r="D124" s="195" t="str">
        <f>'MEMORIAL DE CÁLCULO'!C150</f>
        <v>ED-48295</v>
      </c>
      <c r="E124" s="196" t="str">
        <f>'MEMORIAL DE CÁLCULO'!D150</f>
        <v>CORTE, DOBRA E MONTAGEM DE AÇO CA-50 DIÂMETRO (6,3MM A 12,5MM)</v>
      </c>
      <c r="F124" s="197">
        <f>'MEMORIAL DE CÁLCULO'!G150</f>
        <v>123.4</v>
      </c>
      <c r="G124" s="197" t="str">
        <f>'MEMORIAL DE CÁLCULO'!H150</f>
        <v>kg</v>
      </c>
      <c r="H124" s="209">
        <v>12.13</v>
      </c>
      <c r="I124" s="197">
        <f t="shared" si="11"/>
        <v>15.33</v>
      </c>
      <c r="J124" s="198">
        <f t="shared" si="10"/>
        <v>1891.72</v>
      </c>
    </row>
    <row r="125" spans="2:10" s="9" customFormat="1" ht="12.75">
      <c r="B125" s="194" t="str">
        <f>'MEMORIAL DE CÁLCULO'!A151</f>
        <v>4.14.6</v>
      </c>
      <c r="C125" s="195" t="str">
        <f>'MEMORIAL DE CÁLCULO'!B151</f>
        <v>SETOP</v>
      </c>
      <c r="D125" s="195" t="str">
        <f>'MEMORIAL DE CÁLCULO'!C151</f>
        <v>ED-48297</v>
      </c>
      <c r="E125" s="196" t="str">
        <f>'MEMORIAL DE CÁLCULO'!D151</f>
        <v>CORTE, DOBRA E MONTAGEM DE AÇO CA-60 DIÂMETRO (4,2MM A 5,0MM)</v>
      </c>
      <c r="F125" s="197">
        <f>'MEMORIAL DE CÁLCULO'!G151</f>
        <v>55.44</v>
      </c>
      <c r="G125" s="197" t="str">
        <f>'MEMORIAL DE CÁLCULO'!H151</f>
        <v>kg</v>
      </c>
      <c r="H125" s="209">
        <v>13.33</v>
      </c>
      <c r="I125" s="197">
        <f t="shared" si="11"/>
        <v>16.85</v>
      </c>
      <c r="J125" s="198">
        <f t="shared" si="10"/>
        <v>934.16</v>
      </c>
    </row>
    <row r="126" spans="2:10" s="9" customFormat="1" ht="13.5" thickBot="1">
      <c r="B126" s="194" t="str">
        <f>'MEMORIAL DE CÁLCULO'!A152</f>
        <v>4.14.7</v>
      </c>
      <c r="C126" s="195" t="str">
        <f>'MEMORIAL DE CÁLCULO'!B152</f>
        <v>SINAPI-I</v>
      </c>
      <c r="D126" s="195">
        <f>'MEMORIAL DE CÁLCULO'!C152</f>
        <v>39746</v>
      </c>
      <c r="E126" s="196" t="str">
        <f>'MEMORIAL DE CÁLCULO'!D152</f>
        <v>CHUMBADOR DE ACO, 1" X 600 MM, PARA POSTES DE ACO COM BASE, INCLUSO PORCA E ARRUELA</v>
      </c>
      <c r="F126" s="197">
        <f>'MEMORIAL DE CÁLCULO'!G152</f>
        <v>16</v>
      </c>
      <c r="G126" s="197" t="str">
        <f>'MEMORIAL DE CÁLCULO'!H152</f>
        <v>und</v>
      </c>
      <c r="H126" s="209">
        <v>345.62</v>
      </c>
      <c r="I126" s="197">
        <f t="shared" si="11"/>
        <v>436.9</v>
      </c>
      <c r="J126" s="198">
        <f t="shared" si="10"/>
        <v>6990.4</v>
      </c>
    </row>
    <row r="127" spans="2:10" ht="18.75" customHeight="1" thickBot="1">
      <c r="B127" s="199" t="s">
        <v>440</v>
      </c>
      <c r="C127" s="379" t="s">
        <v>376</v>
      </c>
      <c r="D127" s="380"/>
      <c r="E127" s="380"/>
      <c r="F127" s="380"/>
      <c r="G127" s="380"/>
      <c r="H127" s="208"/>
      <c r="I127" s="205"/>
      <c r="J127" s="200">
        <f>SUM(J128:J128)</f>
        <v>1223.98</v>
      </c>
    </row>
    <row r="128" spans="2:10" s="9" customFormat="1" ht="13.5" thickBot="1">
      <c r="B128" s="194" t="str">
        <f>'MEMORIAL DE CÁLCULO'!A155</f>
        <v>4.15.1</v>
      </c>
      <c r="C128" s="195" t="str">
        <f>'MEMORIAL DE CÁLCULO'!B155</f>
        <v>SINAPI</v>
      </c>
      <c r="D128" s="195">
        <f>'MEMORIAL DE CÁLCULO'!C155</f>
        <v>100701</v>
      </c>
      <c r="E128" s="196" t="str">
        <f>'MEMORIAL DE CÁLCULO'!D155</f>
        <v>PORTA DE FERRO, DE ABRIR, TIPO GRADE COM CHAPA, COM GUARNIÇÕES. AF_12/2019</v>
      </c>
      <c r="F128" s="197">
        <f>'MEMORIAL DE CÁLCULO'!G155</f>
        <v>1.68</v>
      </c>
      <c r="G128" s="197" t="str">
        <f>'MEMORIAL DE CÁLCULO'!H155</f>
        <v>m²</v>
      </c>
      <c r="H128" s="209">
        <v>576.35</v>
      </c>
      <c r="I128" s="197">
        <f>ROUND(H128*I$7,2)+H128</f>
        <v>728.56</v>
      </c>
      <c r="J128" s="198">
        <f>ROUND(I128*F128,2)</f>
        <v>1223.98</v>
      </c>
    </row>
    <row r="129" spans="2:10" ht="18.75" customHeight="1" thickBot="1">
      <c r="B129" s="199" t="s">
        <v>443</v>
      </c>
      <c r="C129" s="379" t="s">
        <v>386</v>
      </c>
      <c r="D129" s="380"/>
      <c r="E129" s="380"/>
      <c r="F129" s="380"/>
      <c r="G129" s="380"/>
      <c r="H129" s="208"/>
      <c r="I129" s="205"/>
      <c r="J129" s="200">
        <f>SUM(J130:J137)</f>
        <v>3238.72</v>
      </c>
    </row>
    <row r="130" spans="2:10" s="9" customFormat="1" ht="12.75">
      <c r="B130" s="194" t="str">
        <f>'MEMORIAL DE CÁLCULO'!A158</f>
        <v>4.16.1</v>
      </c>
      <c r="C130" s="195" t="str">
        <f>'MEMORIAL DE CÁLCULO'!B158</f>
        <v>SINAPI-I</v>
      </c>
      <c r="D130" s="195">
        <f>'MEMORIAL DE CÁLCULO'!C158</f>
        <v>37105</v>
      </c>
      <c r="E130" s="196" t="str">
        <f>'MEMORIAL DE CÁLCULO'!D158</f>
        <v>CAIXA D'AGUA FIBRA DE VIDRO PARA 5000 LITROS, COM TAMPA </v>
      </c>
      <c r="F130" s="197">
        <f>'MEMORIAL DE CÁLCULO'!G158</f>
        <v>1</v>
      </c>
      <c r="G130" s="197" t="str">
        <f>'MEMORIAL DE CÁLCULO'!H158</f>
        <v>und</v>
      </c>
      <c r="H130" s="209">
        <v>2400.7</v>
      </c>
      <c r="I130" s="197">
        <f>ROUND(H130*I$7,2)+H130</f>
        <v>3034.72</v>
      </c>
      <c r="J130" s="198">
        <f>ROUND(I130*F130,2)</f>
        <v>3034.72</v>
      </c>
    </row>
    <row r="131" spans="2:10" s="9" customFormat="1" ht="22.5">
      <c r="B131" s="194" t="str">
        <f>'MEMORIAL DE CÁLCULO'!A159</f>
        <v>4.16.2</v>
      </c>
      <c r="C131" s="195" t="str">
        <f>'MEMORIAL DE CÁLCULO'!B159</f>
        <v>SINAPI-I</v>
      </c>
      <c r="D131" s="195">
        <f>'MEMORIAL DE CÁLCULO'!C159</f>
        <v>40329</v>
      </c>
      <c r="E131" s="196" t="str">
        <f>'MEMORIAL DE CÁLCULO'!D159</f>
        <v>TORNEIRA PLASTICA DE BOIA CONVENCIONAL PARA CAIXA DE AGUA, 3/4 ", COM HASTE METALICA E COM TORNEIRA E BALAO PLASTICOS (PADRAO POPULAR)</v>
      </c>
      <c r="F131" s="197">
        <f>'MEMORIAL DE CÁLCULO'!G159</f>
        <v>1</v>
      </c>
      <c r="G131" s="197" t="str">
        <f>'MEMORIAL DE CÁLCULO'!H159</f>
        <v>und</v>
      </c>
      <c r="H131" s="209">
        <v>16.31</v>
      </c>
      <c r="I131" s="197">
        <f aca="true" t="shared" si="12" ref="I131:I137">ROUND(H131*I$7,2)+H131</f>
        <v>20.62</v>
      </c>
      <c r="J131" s="198">
        <f aca="true" t="shared" si="13" ref="J131:J137">ROUND(I131*F131,2)</f>
        <v>20.62</v>
      </c>
    </row>
    <row r="132" spans="2:10" s="9" customFormat="1" ht="22.5">
      <c r="B132" s="194" t="str">
        <f>'MEMORIAL DE CÁLCULO'!A160</f>
        <v>4.16.3</v>
      </c>
      <c r="C132" s="195" t="str">
        <f>'MEMORIAL DE CÁLCULO'!B160</f>
        <v>SINAPI</v>
      </c>
      <c r="D132" s="195">
        <f>'MEMORIAL DE CÁLCULO'!C160</f>
        <v>94489</v>
      </c>
      <c r="E132" s="196" t="str">
        <f>'MEMORIAL DE CÁLCULO'!D160</f>
        <v>REGISTRO DE ESFERA, PVC, SOLDÁVEL, DN 25 MM, INSTALADO EM RESERVAÇÃO DE ÁGUA DE EDIFICAÇÃO QUE POSSUA RESERVATÓRIO DE FIBRA/FIBROCIMENTO FORNECIMENTO E INSTALAÇÃO. AF_06/2016</v>
      </c>
      <c r="F132" s="197">
        <f>'MEMORIAL DE CÁLCULO'!G160</f>
        <v>1</v>
      </c>
      <c r="G132" s="197" t="str">
        <f>'MEMORIAL DE CÁLCULO'!H160</f>
        <v>und</v>
      </c>
      <c r="H132" s="209">
        <v>25.98</v>
      </c>
      <c r="I132" s="197">
        <f t="shared" si="12"/>
        <v>32.84</v>
      </c>
      <c r="J132" s="198">
        <f t="shared" si="13"/>
        <v>32.84</v>
      </c>
    </row>
    <row r="133" spans="2:10" s="9" customFormat="1" ht="12.75">
      <c r="B133" s="194" t="str">
        <f>'MEMORIAL DE CÁLCULO'!A161</f>
        <v>4.16.4</v>
      </c>
      <c r="C133" s="195" t="str">
        <f>'MEMORIAL DE CÁLCULO'!B161</f>
        <v>SINAPI</v>
      </c>
      <c r="D133" s="195">
        <f>'MEMORIAL DE CÁLCULO'!C161</f>
        <v>89440</v>
      </c>
      <c r="E133" s="196" t="str">
        <f>'MEMORIAL DE CÁLCULO'!D161</f>
        <v>TE, PVC, SOLDÁVEL, DN 25MM, INSTALADO EM RAMAL DE DISTRIBUIÇÃO DE ÁGUA - FORNECIMENTO E INSTALAÇÃO. AF_12/2014</v>
      </c>
      <c r="F133" s="197">
        <f>'MEMORIAL DE CÁLCULO'!G161</f>
        <v>1</v>
      </c>
      <c r="G133" s="197" t="str">
        <f>'MEMORIAL DE CÁLCULO'!H161</f>
        <v>und</v>
      </c>
      <c r="H133" s="209">
        <v>7.38</v>
      </c>
      <c r="I133" s="197">
        <f t="shared" si="12"/>
        <v>9.33</v>
      </c>
      <c r="J133" s="198">
        <f t="shared" si="13"/>
        <v>9.33</v>
      </c>
    </row>
    <row r="134" spans="2:10" s="9" customFormat="1" ht="12.75">
      <c r="B134" s="194" t="str">
        <f>'MEMORIAL DE CÁLCULO'!A162</f>
        <v>4.16.5</v>
      </c>
      <c r="C134" s="195" t="str">
        <f>'MEMORIAL DE CÁLCULO'!B162</f>
        <v>SINAPI</v>
      </c>
      <c r="D134" s="195">
        <f>'MEMORIAL DE CÁLCULO'!C162</f>
        <v>89481</v>
      </c>
      <c r="E134" s="196" t="str">
        <f>'MEMORIAL DE CÁLCULO'!D162</f>
        <v>JOELHO 90 GRAUS, PVC, SOLDÁVEL, DN 25MM, INSTALADO EM PRUMADA DE ÁGUA- FORNECIMENTO E INSTALAÇÃO. AF_12/2014</v>
      </c>
      <c r="F134" s="197">
        <f>'MEMORIAL DE CÁLCULO'!G162</f>
        <v>1</v>
      </c>
      <c r="G134" s="197" t="str">
        <f>'MEMORIAL DE CÁLCULO'!H162</f>
        <v>und</v>
      </c>
      <c r="H134" s="209">
        <v>4.02</v>
      </c>
      <c r="I134" s="197">
        <f t="shared" si="12"/>
        <v>5.08</v>
      </c>
      <c r="J134" s="198">
        <f t="shared" si="13"/>
        <v>5.08</v>
      </c>
    </row>
    <row r="135" spans="2:10" s="9" customFormat="1" ht="22.5">
      <c r="B135" s="194" t="str">
        <f>'MEMORIAL DE CÁLCULO'!A163</f>
        <v>4.16.6</v>
      </c>
      <c r="C135" s="195" t="str">
        <f>'MEMORIAL DE CÁLCULO'!B163</f>
        <v>SINAPI</v>
      </c>
      <c r="D135" s="195">
        <f>'MEMORIAL DE CÁLCULO'!C163</f>
        <v>94703</v>
      </c>
      <c r="E135" s="196" t="str">
        <f>'MEMORIAL DE CÁLCULO'!D163</f>
        <v>ADAPTADOR COM FLANGE E ANEL DE VEDAÇÃO, PVC, SOLDÁVEL, DN 25 MM X 3/4, INSTALADO EM RESERVAÇÃO DE ÁGUA DE EDIFICAÇÃO QUE POSSUA RESERVATÓRIO DE FIBRA/FIBROCIMENTO FORNECIMENTO E INSTALAÇÃO. AF_06/2016</v>
      </c>
      <c r="F135" s="197">
        <f>'MEMORIAL DE CÁLCULO'!G163</f>
        <v>1</v>
      </c>
      <c r="G135" s="197" t="str">
        <f>'MEMORIAL DE CÁLCULO'!H163</f>
        <v>und</v>
      </c>
      <c r="H135" s="209">
        <v>21.29</v>
      </c>
      <c r="I135" s="197">
        <f t="shared" si="12"/>
        <v>26.91</v>
      </c>
      <c r="J135" s="198">
        <f t="shared" si="13"/>
        <v>26.91</v>
      </c>
    </row>
    <row r="136" spans="2:10" s="9" customFormat="1" ht="33.75">
      <c r="B136" s="194" t="str">
        <f>'MEMORIAL DE CÁLCULO'!A164</f>
        <v>4.16.7</v>
      </c>
      <c r="C136" s="195" t="str">
        <f>'MEMORIAL DE CÁLCULO'!B164</f>
        <v>SINAPI</v>
      </c>
      <c r="D136" s="195">
        <f>'MEMORIAL DE CÁLCULO'!C164</f>
        <v>94708</v>
      </c>
      <c r="E136" s="196" t="str">
        <f>'MEMORIAL DE CÁLCULO'!D164</f>
        <v>ADAPTADOR COM FLANGES LIVRES, PVC, SOLDÁVEL, DN 25 MM X 3/4 , INSTALADO EM RESERVAÇÃO DE ÁGUA DE EDIFICAÇÃO QUE POSSUA RESERVATÓRIO DE FIBR
A/FIBROCIMENTO FORNECIMENTO E INSTALAÇÃO. AF_06/2016</v>
      </c>
      <c r="F136" s="197">
        <f>'MEMORIAL DE CÁLCULO'!G164</f>
        <v>2</v>
      </c>
      <c r="G136" s="197" t="str">
        <f>'MEMORIAL DE CÁLCULO'!H164</f>
        <v>und</v>
      </c>
      <c r="H136" s="209">
        <v>26.54</v>
      </c>
      <c r="I136" s="197">
        <f t="shared" si="12"/>
        <v>33.55</v>
      </c>
      <c r="J136" s="198">
        <f t="shared" si="13"/>
        <v>67.1</v>
      </c>
    </row>
    <row r="137" spans="2:10" s="9" customFormat="1" ht="23.25" thickBot="1">
      <c r="B137" s="194" t="str">
        <f>'MEMORIAL DE CÁLCULO'!A165</f>
        <v>4.16.8</v>
      </c>
      <c r="C137" s="195" t="str">
        <f>'MEMORIAL DE CÁLCULO'!B165</f>
        <v>SINAPI</v>
      </c>
      <c r="D137" s="195">
        <f>'MEMORIAL DE CÁLCULO'!C165</f>
        <v>95141</v>
      </c>
      <c r="E137" s="196" t="str">
        <f>'MEMORIAL DE CÁLCULO'!D165</f>
        <v>ADAPTADOR COM FLANGES LIVRES, PVC, SOLDÁVEL LONGO, DN 25 MM X 3/4 , INSTALADO EM RESERVAÇÃO DE ÁGUA DE EDIFICAÇÃO QUE POSSUA RESERVATÓRIO DE FIBRA/FIBROCIMENTO FORNECIMENTO E INSTALAÇÃO. AF_06/2016</v>
      </c>
      <c r="F137" s="197">
        <f>'MEMORIAL DE CÁLCULO'!G165</f>
        <v>1</v>
      </c>
      <c r="G137" s="197" t="str">
        <f>'MEMORIAL DE CÁLCULO'!H165</f>
        <v>und</v>
      </c>
      <c r="H137" s="209">
        <v>33.32</v>
      </c>
      <c r="I137" s="197">
        <f t="shared" si="12"/>
        <v>42.12</v>
      </c>
      <c r="J137" s="198">
        <f t="shared" si="13"/>
        <v>42.12</v>
      </c>
    </row>
    <row r="138" spans="2:10" ht="18.75" customHeight="1" thickBot="1">
      <c r="B138" s="199" t="s">
        <v>452</v>
      </c>
      <c r="C138" s="379" t="s">
        <v>212</v>
      </c>
      <c r="D138" s="380"/>
      <c r="E138" s="380"/>
      <c r="F138" s="380"/>
      <c r="G138" s="380"/>
      <c r="H138" s="208"/>
      <c r="I138" s="205"/>
      <c r="J138" s="200">
        <f>SUM(J139:J146)</f>
        <v>16047.17</v>
      </c>
    </row>
    <row r="139" spans="2:10" s="9" customFormat="1" ht="12.75">
      <c r="B139" s="194" t="str">
        <f>'MEMORIAL DE CÁLCULO'!A168</f>
        <v>4.17.1</v>
      </c>
      <c r="C139" s="195" t="str">
        <f>'MEMORIAL DE CÁLCULO'!B168</f>
        <v>SINAPI</v>
      </c>
      <c r="D139" s="195">
        <f>'MEMORIAL DE CÁLCULO'!C168</f>
        <v>92986</v>
      </c>
      <c r="E139" s="196" t="str">
        <f>'MEMORIAL DE CÁLCULO'!D168</f>
        <v>CABO DE COBRE FLEXÍVEL ISOLADO, 35 MM², ANTI-CHAMA 0,6/1,0 KV, PARA DISTRIBUIÇÃO - FORNECIMENTO E INSTALAÇÃO. AF_12/2015</v>
      </c>
      <c r="F139" s="197">
        <f>'MEMORIAL DE CÁLCULO'!G168</f>
        <v>250</v>
      </c>
      <c r="G139" s="197" t="str">
        <f>'MEMORIAL DE CÁLCULO'!H168</f>
        <v>m</v>
      </c>
      <c r="H139" s="209">
        <v>34.1</v>
      </c>
      <c r="I139" s="197">
        <f>ROUND(H139*I$7,2)+H139</f>
        <v>43.11</v>
      </c>
      <c r="J139" s="198">
        <f>ROUND(I139*F139,2)</f>
        <v>10777.5</v>
      </c>
    </row>
    <row r="140" spans="2:10" s="9" customFormat="1" ht="22.5">
      <c r="B140" s="194" t="str">
        <f>'MEMORIAL DE CÁLCULO'!A169</f>
        <v>4.17.2</v>
      </c>
      <c r="C140" s="195" t="str">
        <f>'MEMORIAL DE CÁLCULO'!B169</f>
        <v>SINAPI</v>
      </c>
      <c r="D140" s="195">
        <f>'MEMORIAL DE CÁLCULO'!C169</f>
        <v>91927</v>
      </c>
      <c r="E140" s="196" t="str">
        <f>'MEMORIAL DE CÁLCULO'!D169</f>
        <v>CABO DE COBRE FLEXÍVEL ISOLADO, 2,5 MM², ANTI-CHAMA 0,6/1,0 KV, PARA CIRCUITOS TERMINAIS - FORNECIMENTO E INSTALAÇÃO. AF_12/2015</v>
      </c>
      <c r="F140" s="197">
        <f>'MEMORIAL DE CÁLCULO'!G169</f>
        <v>60</v>
      </c>
      <c r="G140" s="197" t="str">
        <f>'MEMORIAL DE CÁLCULO'!H169</f>
        <v>m</v>
      </c>
      <c r="H140" s="209">
        <v>4.78</v>
      </c>
      <c r="I140" s="197">
        <f aca="true" t="shared" si="14" ref="I140:I146">ROUND(H140*I$7,2)+H140</f>
        <v>6.04</v>
      </c>
      <c r="J140" s="198">
        <f aca="true" t="shared" si="15" ref="J140:J146">ROUND(I140*F140,2)</f>
        <v>362.4</v>
      </c>
    </row>
    <row r="141" spans="2:10" s="9" customFormat="1" ht="12.75">
      <c r="B141" s="194" t="str">
        <f>'MEMORIAL DE CÁLCULO'!A170</f>
        <v>4.17.3</v>
      </c>
      <c r="C141" s="195" t="str">
        <f>'MEMORIAL DE CÁLCULO'!B170</f>
        <v>SINAPI</v>
      </c>
      <c r="D141" s="195">
        <f>'MEMORIAL DE CÁLCULO'!C170</f>
        <v>91928</v>
      </c>
      <c r="E141" s="196" t="str">
        <f>'MEMORIAL DE CÁLCULO'!D170</f>
        <v>CABO DE COBRE FLEXÍVEL ISOLADO, 4 MM², ANTI-CHAMA 450/750 V, PARA CIRCUITOS TERMINAIS - FORNECIMENTO E INSTALAÇÃO. AF_12/2015</v>
      </c>
      <c r="F141" s="197">
        <f>'MEMORIAL DE CÁLCULO'!G170</f>
        <v>50</v>
      </c>
      <c r="G141" s="197" t="str">
        <f>'MEMORIAL DE CÁLCULO'!H170</f>
        <v>m</v>
      </c>
      <c r="H141" s="209">
        <v>5.9</v>
      </c>
      <c r="I141" s="197">
        <f t="shared" si="14"/>
        <v>7.46</v>
      </c>
      <c r="J141" s="198">
        <f t="shared" si="15"/>
        <v>373</v>
      </c>
    </row>
    <row r="142" spans="2:10" s="9" customFormat="1" ht="12.75">
      <c r="B142" s="194" t="str">
        <f>'MEMORIAL DE CÁLCULO'!A171</f>
        <v>4.17.4</v>
      </c>
      <c r="C142" s="195" t="str">
        <f>'MEMORIAL DE CÁLCULO'!B171</f>
        <v>SINAPI</v>
      </c>
      <c r="D142" s="195">
        <f>'MEMORIAL DE CÁLCULO'!C171</f>
        <v>92868</v>
      </c>
      <c r="E142" s="196" t="str">
        <f>'MEMORIAL DE CÁLCULO'!D171</f>
        <v>CAIXA RETANGULAR 4" X 2" MÉDIA (1,30 M DO PISO), METÁLICA, INSTALADA EM PAREDE - FORNECIMENTO E INSTALAÇÃO. AF_12/2015</v>
      </c>
      <c r="F142" s="197">
        <f>'MEMORIAL DE CÁLCULO'!G171</f>
        <v>5</v>
      </c>
      <c r="G142" s="197" t="str">
        <f>'MEMORIAL DE CÁLCULO'!H171</f>
        <v>und</v>
      </c>
      <c r="H142" s="209">
        <v>11.55</v>
      </c>
      <c r="I142" s="197">
        <f t="shared" si="14"/>
        <v>14.6</v>
      </c>
      <c r="J142" s="198">
        <f t="shared" si="15"/>
        <v>73</v>
      </c>
    </row>
    <row r="143" spans="2:10" s="9" customFormat="1" ht="12.75">
      <c r="B143" s="194" t="str">
        <f>'MEMORIAL DE CÁLCULO'!A172</f>
        <v>4.17.5</v>
      </c>
      <c r="C143" s="195" t="str">
        <f>'MEMORIAL DE CÁLCULO'!B172</f>
        <v>SINAPI</v>
      </c>
      <c r="D143" s="195">
        <f>'MEMORIAL DE CÁLCULO'!C172</f>
        <v>91997</v>
      </c>
      <c r="E143" s="196" t="str">
        <f>'MEMORIAL DE CÁLCULO'!D172</f>
        <v>TOMADA MÉDIA DE EMBUTIR (1 MÓDULO), 2P+T 20 A, INCLUINDO SUPORTE E PLACA - FORNECIMENTO E INSTALAÇÃO. AF_12/2015</v>
      </c>
      <c r="F143" s="197">
        <f>'MEMORIAL DE CÁLCULO'!G172</f>
        <v>5</v>
      </c>
      <c r="G143" s="197" t="str">
        <f>'MEMORIAL DE CÁLCULO'!H172</f>
        <v>und</v>
      </c>
      <c r="H143" s="209">
        <v>27.67</v>
      </c>
      <c r="I143" s="197">
        <f t="shared" si="14"/>
        <v>34.98</v>
      </c>
      <c r="J143" s="198">
        <f t="shared" si="15"/>
        <v>174.9</v>
      </c>
    </row>
    <row r="144" spans="2:10" s="9" customFormat="1" ht="22.5">
      <c r="B144" s="194" t="str">
        <f>'MEMORIAL DE CÁLCULO'!A173</f>
        <v>4.17.6</v>
      </c>
      <c r="C144" s="195" t="str">
        <f>'MEMORIAL DE CÁLCULO'!B173</f>
        <v>SINAPI</v>
      </c>
      <c r="D144" s="195">
        <f>'MEMORIAL DE CÁLCULO'!C173</f>
        <v>92023</v>
      </c>
      <c r="E144" s="196" t="str">
        <f>'MEMORIAL DE CÁLCULO'!D173</f>
        <v>INTERRUPTOR SIMPLES (1 MÓDULO) COM 1 TOMADA DE EMBUTIR 2P+T 10 A, INCLUINDO SUPORTE E PLACA - FORNECIMENTO E INSTALAÇÃO. AF_12/2015</v>
      </c>
      <c r="F144" s="197">
        <f>'MEMORIAL DE CÁLCULO'!G173</f>
        <v>2</v>
      </c>
      <c r="G144" s="197" t="str">
        <f>'MEMORIAL DE CÁLCULO'!H173</f>
        <v>und</v>
      </c>
      <c r="H144" s="209">
        <v>38.18</v>
      </c>
      <c r="I144" s="197">
        <f t="shared" si="14"/>
        <v>48.26</v>
      </c>
      <c r="J144" s="198">
        <f t="shared" si="15"/>
        <v>96.52</v>
      </c>
    </row>
    <row r="145" spans="2:10" s="9" customFormat="1" ht="12.75">
      <c r="B145" s="194" t="str">
        <f>'MEMORIAL DE CÁLCULO'!A174</f>
        <v>4.17.7</v>
      </c>
      <c r="C145" s="195" t="str">
        <f>'MEMORIAL DE CÁLCULO'!B174</f>
        <v>MERCADO</v>
      </c>
      <c r="D145" s="195" t="str">
        <f>'MEMORIAL DE CÁLCULO'!C174</f>
        <v>COMP001</v>
      </c>
      <c r="E145" s="196" t="str">
        <f>'MEMORIAL DE CÁLCULO'!D174</f>
        <v>PAINEL ESTRELA TRIANGULO 10CV 220V</v>
      </c>
      <c r="F145" s="197">
        <f>'MEMORIAL DE CÁLCULO'!G174</f>
        <v>1</v>
      </c>
      <c r="G145" s="197" t="str">
        <f>'MEMORIAL DE CÁLCULO'!H174</f>
        <v>und</v>
      </c>
      <c r="H145" s="209">
        <v>1731.36</v>
      </c>
      <c r="I145" s="197">
        <f t="shared" si="14"/>
        <v>2188.61</v>
      </c>
      <c r="J145" s="198">
        <f t="shared" si="15"/>
        <v>2188.61</v>
      </c>
    </row>
    <row r="146" spans="2:10" s="9" customFormat="1" ht="13.5" thickBot="1">
      <c r="B146" s="194" t="str">
        <f>'MEMORIAL DE CÁLCULO'!A175</f>
        <v>4.17.8</v>
      </c>
      <c r="C146" s="195" t="str">
        <f>'MEMORIAL DE CÁLCULO'!B175</f>
        <v>MERCADO</v>
      </c>
      <c r="D146" s="195" t="str">
        <f>'MEMORIAL DE CÁLCULO'!C175</f>
        <v>COMP002</v>
      </c>
      <c r="E146" s="196" t="str">
        <f>'MEMORIAL DE CÁLCULO'!D175</f>
        <v>REFLETOR LED 200W</v>
      </c>
      <c r="F146" s="197">
        <f>'MEMORIAL DE CÁLCULO'!G175</f>
        <v>12</v>
      </c>
      <c r="G146" s="197" t="str">
        <f>'MEMORIAL DE CÁLCULO'!H175</f>
        <v>und</v>
      </c>
      <c r="H146" s="209">
        <v>131.93</v>
      </c>
      <c r="I146" s="197">
        <f t="shared" si="14"/>
        <v>166.77</v>
      </c>
      <c r="J146" s="198">
        <f t="shared" si="15"/>
        <v>2001.24</v>
      </c>
    </row>
    <row r="147" spans="2:10" ht="18.75" customHeight="1" thickBot="1">
      <c r="B147" s="114">
        <v>5</v>
      </c>
      <c r="C147" s="361" t="s">
        <v>350</v>
      </c>
      <c r="D147" s="362"/>
      <c r="E147" s="362"/>
      <c r="F147" s="362"/>
      <c r="G147" s="362"/>
      <c r="H147" s="206"/>
      <c r="I147" s="192"/>
      <c r="J147" s="193">
        <f>J148+J150+J156+J159+J161+J170+J180+J195+J200</f>
        <v>20213.19</v>
      </c>
    </row>
    <row r="148" spans="2:10" ht="18.75" customHeight="1" thickBot="1">
      <c r="B148" s="199" t="s">
        <v>317</v>
      </c>
      <c r="C148" s="379" t="s">
        <v>94</v>
      </c>
      <c r="D148" s="380"/>
      <c r="E148" s="380"/>
      <c r="F148" s="380"/>
      <c r="G148" s="380"/>
      <c r="H148" s="208"/>
      <c r="I148" s="205"/>
      <c r="J148" s="200">
        <f>SUM(J149:J149)</f>
        <v>1476.56</v>
      </c>
    </row>
    <row r="149" spans="2:10" s="9" customFormat="1" ht="12.75" customHeight="1" thickBot="1">
      <c r="B149" s="194" t="str">
        <f>'MEMORIAL DE CÁLCULO'!A179</f>
        <v>5.1.1</v>
      </c>
      <c r="C149" s="195" t="str">
        <f>'MEMORIAL DE CÁLCULO'!B179</f>
        <v>SETOP</v>
      </c>
      <c r="D149" s="195" t="str">
        <f>'MEMORIAL DE CÁLCULO'!C179</f>
        <v>ED-48195</v>
      </c>
      <c r="E149" s="196" t="str">
        <f>'MEMORIAL DE CÁLCULO'!D179</f>
        <v>ALVENARIA DE VEDAÇÃO COM BLOCO DE CONCRETO, ESP. 14CM, COM ACABAMENTO APARENTE, INCLUSIVE ARGAMASSA PARA ASSENTAMENTO</v>
      </c>
      <c r="F149" s="197">
        <f>'PLANILHA DE CALCÚLO (escritó..)'!B27</f>
        <v>25.95</v>
      </c>
      <c r="G149" s="197" t="str">
        <f>'MEMORIAL DE CÁLCULO'!H179</f>
        <v>m²</v>
      </c>
      <c r="H149" s="209">
        <v>45.01</v>
      </c>
      <c r="I149" s="197">
        <f aca="true" t="shared" si="16" ref="I149:I196">ROUND(H149*I$7,2)+H149</f>
        <v>56.9</v>
      </c>
      <c r="J149" s="198">
        <f>ROUND(I149*F149,2)</f>
        <v>1476.56</v>
      </c>
    </row>
    <row r="150" spans="2:10" ht="18.75" customHeight="1" thickBot="1">
      <c r="B150" s="199" t="s">
        <v>319</v>
      </c>
      <c r="C150" s="379" t="s">
        <v>186</v>
      </c>
      <c r="D150" s="380"/>
      <c r="E150" s="380"/>
      <c r="F150" s="380"/>
      <c r="G150" s="380"/>
      <c r="H150" s="208"/>
      <c r="I150" s="205"/>
      <c r="J150" s="200">
        <f>SUM(J151:J155)</f>
        <v>4259.81</v>
      </c>
    </row>
    <row r="151" spans="2:10" s="9" customFormat="1" ht="22.5">
      <c r="B151" s="194" t="str">
        <f>'MEMORIAL DE CÁLCULO'!A182</f>
        <v>5.2.1</v>
      </c>
      <c r="C151" s="195" t="str">
        <f>'MEMORIAL DE CÁLCULO'!B182</f>
        <v>SINAPI</v>
      </c>
      <c r="D151" s="195">
        <f>'MEMORIAL DE CÁLCULO'!C182</f>
        <v>92543</v>
      </c>
      <c r="E151" s="196" t="str">
        <f>'MEMORIAL DE CÁLCULO'!D182</f>
        <v>TRAMA DE MADEIRA COMPOSTA POR TERÇAS PARA TELHADOS DE ATÉ 2 ÁGUAS PARA TELHA ONDULADA DE FIBROCIMENTO, METÁLICA, PLÁSTICA OU TERMOACÚSTICA, INCLUSO TRANSPORTE VERTICAL. AF_07/2019</v>
      </c>
      <c r="F151" s="197">
        <f>'MEMORIAL DE CÁLCULO'!G182</f>
        <v>17.39</v>
      </c>
      <c r="G151" s="197" t="str">
        <f>'MEMORIAL DE CÁLCULO'!H182</f>
        <v>m²</v>
      </c>
      <c r="H151" s="209">
        <v>36.5</v>
      </c>
      <c r="I151" s="197">
        <f t="shared" si="16"/>
        <v>46.14</v>
      </c>
      <c r="J151" s="198">
        <f>ROUND(I151*F151,2)</f>
        <v>802.37</v>
      </c>
    </row>
    <row r="152" spans="2:10" s="9" customFormat="1" ht="22.5">
      <c r="B152" s="194" t="str">
        <f>'MEMORIAL DE CÁLCULO'!A183</f>
        <v>5.2.2</v>
      </c>
      <c r="C152" s="195" t="str">
        <f>'MEMORIAL DE CÁLCULO'!B183</f>
        <v>SINAPI</v>
      </c>
      <c r="D152" s="195">
        <f>'MEMORIAL DE CÁLCULO'!C183</f>
        <v>94207</v>
      </c>
      <c r="E152" s="196" t="str">
        <f>'MEMORIAL DE CÁLCULO'!D183</f>
        <v>TELHAMENTO COM TELHA ONDULADA DE FIBROCIMENTO E = 6 MM, COM RECOBRIMENTO LATERAL DE 1/4 DE ONDA PARA TELHADO COM INCLINAÇÃO MAIOR QUE 10°, COM ATÉ 2 ÁGUAS, INCLUSO IÇAMENTO. AF_07/2019</v>
      </c>
      <c r="F152" s="197">
        <f>'MEMORIAL DE CÁLCULO'!G183</f>
        <v>17.39</v>
      </c>
      <c r="G152" s="197" t="str">
        <f>'MEMORIAL DE CÁLCULO'!H183</f>
        <v>m²</v>
      </c>
      <c r="H152" s="209">
        <v>40.31</v>
      </c>
      <c r="I152" s="197">
        <f t="shared" si="16"/>
        <v>50.96</v>
      </c>
      <c r="J152" s="198">
        <f>ROUND(I152*F152,2)</f>
        <v>886.19</v>
      </c>
    </row>
    <row r="153" spans="2:10" s="9" customFormat="1" ht="12.75">
      <c r="B153" s="194" t="str">
        <f>'MEMORIAL DE CÁLCULO'!A184</f>
        <v>5.2.3</v>
      </c>
      <c r="C153" s="195" t="str">
        <f>'MEMORIAL DE CÁLCULO'!B184</f>
        <v>SINAPI</v>
      </c>
      <c r="D153" s="195">
        <f>'MEMORIAL DE CÁLCULO'!C184</f>
        <v>94231</v>
      </c>
      <c r="E153" s="196" t="str">
        <f>'MEMORIAL DE CÁLCULO'!D184</f>
        <v>RUFO EM CHAPA DE AÇO GALVANIZADO NÚMERO 24, CORTE DE 25 CM, INCLUSO TRANSPORTE VERTICAL. AF_07/2019</v>
      </c>
      <c r="F153" s="197">
        <f>'MEMORIAL DE CÁLCULO'!G184</f>
        <v>4.7</v>
      </c>
      <c r="G153" s="197" t="str">
        <f>'MEMORIAL DE CÁLCULO'!H184</f>
        <v>m</v>
      </c>
      <c r="H153" s="209">
        <v>58.66</v>
      </c>
      <c r="I153" s="197">
        <f t="shared" si="16"/>
        <v>74.15</v>
      </c>
      <c r="J153" s="198">
        <f>ROUND(I153*F153,2)</f>
        <v>348.51</v>
      </c>
    </row>
    <row r="154" spans="2:10" s="9" customFormat="1" ht="12.75">
      <c r="B154" s="194" t="str">
        <f>'MEMORIAL DE CÁLCULO'!A185</f>
        <v>5.2.4</v>
      </c>
      <c r="C154" s="195" t="str">
        <f>'MEMORIAL DE CÁLCULO'!B185</f>
        <v>SINAPI</v>
      </c>
      <c r="D154" s="195">
        <f>'MEMORIAL DE CÁLCULO'!C185</f>
        <v>94229</v>
      </c>
      <c r="E154" s="196" t="str">
        <f>'MEMORIAL DE CÁLCULO'!D185</f>
        <v>CALHA EM CHAPA DE AÇO GALVANIZADO NÚMERO 24, DESENVOLVIMENTO DE 100 CM, INCLUSO TRANSPORTE VERTICAL. AF_07/2019</v>
      </c>
      <c r="F154" s="197">
        <f>'MEMORIAL DE CÁLCULO'!G185</f>
        <v>4.7</v>
      </c>
      <c r="G154" s="197" t="str">
        <f>'MEMORIAL DE CÁLCULO'!H185</f>
        <v>m</v>
      </c>
      <c r="H154" s="209">
        <v>200.1</v>
      </c>
      <c r="I154" s="197">
        <f t="shared" si="16"/>
        <v>252.95</v>
      </c>
      <c r="J154" s="198">
        <f>ROUND(I154*F154,2)</f>
        <v>1188.87</v>
      </c>
    </row>
    <row r="155" spans="2:10" s="9" customFormat="1" ht="13.5" thickBot="1">
      <c r="B155" s="194" t="str">
        <f>'MEMORIAL DE CÁLCULO'!A186</f>
        <v>5.2.5</v>
      </c>
      <c r="C155" s="195" t="str">
        <f>'MEMORIAL DE CÁLCULO'!B186</f>
        <v>SINAPI</v>
      </c>
      <c r="D155" s="195">
        <f>'MEMORIAL DE CÁLCULO'!C186</f>
        <v>101979</v>
      </c>
      <c r="E155" s="196" t="str">
        <f>'MEMORIAL DE CÁLCULO'!D186</f>
        <v>CHAPIM (RUFO CAPA) EM AÇO GALVANIZADO, CORTE 33. AF_11/2020 </v>
      </c>
      <c r="F155" s="197">
        <f>'MEMORIAL DE CÁLCULO'!G186</f>
        <v>16.8</v>
      </c>
      <c r="G155" s="197" t="str">
        <f>'MEMORIAL DE CÁLCULO'!H186</f>
        <v>m</v>
      </c>
      <c r="H155" s="209">
        <v>48.68</v>
      </c>
      <c r="I155" s="197">
        <f t="shared" si="16"/>
        <v>61.54</v>
      </c>
      <c r="J155" s="198">
        <f>ROUND(I155*F155,2)</f>
        <v>1033.87</v>
      </c>
    </row>
    <row r="156" spans="2:10" ht="18.75" customHeight="1" thickBot="1">
      <c r="B156" s="199" t="s">
        <v>325</v>
      </c>
      <c r="C156" s="379" t="s">
        <v>260</v>
      </c>
      <c r="D156" s="380"/>
      <c r="E156" s="380"/>
      <c r="F156" s="380"/>
      <c r="G156" s="380"/>
      <c r="H156" s="208"/>
      <c r="I156" s="205"/>
      <c r="J156" s="200">
        <f>SUM(J157:J158)</f>
        <v>1503.26</v>
      </c>
    </row>
    <row r="157" spans="2:10" s="9" customFormat="1" ht="12.75">
      <c r="B157" s="194" t="str">
        <f>'MEMORIAL DE CÁLCULO'!A189</f>
        <v>5.3.1</v>
      </c>
      <c r="C157" s="195" t="str">
        <f>'MEMORIAL DE CÁLCULO'!B189</f>
        <v>SETOP</v>
      </c>
      <c r="D157" s="195" t="str">
        <f>'MEMORIAL DE CÁLCULO'!C189</f>
        <v>ED-50566</v>
      </c>
      <c r="E157" s="196" t="str">
        <f>'MEMORIAL DE CÁLCULO'!D189</f>
        <v>CONTRAPISO DESEMPENADO COM ARGAMASSA, TRAÇO 1:3 (CIMENTO E AREIA), ESP. 20MM</v>
      </c>
      <c r="F157" s="197">
        <f>'MEMORIAL DE CÁLCULO'!G189</f>
        <v>16.8</v>
      </c>
      <c r="G157" s="197" t="str">
        <f>'MEMORIAL DE CÁLCULO'!H189</f>
        <v>m²</v>
      </c>
      <c r="H157" s="209">
        <v>26.49</v>
      </c>
      <c r="I157" s="197">
        <f t="shared" si="16"/>
        <v>33.49</v>
      </c>
      <c r="J157" s="198">
        <f>ROUND(I157*F157,2)</f>
        <v>562.63</v>
      </c>
    </row>
    <row r="158" spans="2:10" s="9" customFormat="1" ht="23.25" thickBot="1">
      <c r="B158" s="194" t="str">
        <f>'MEMORIAL DE CÁLCULO'!A190</f>
        <v>5.3.2</v>
      </c>
      <c r="C158" s="195" t="str">
        <f>'MEMORIAL DE CÁLCULO'!B190</f>
        <v>SETOP</v>
      </c>
      <c r="D158" s="195" t="str">
        <f>'MEMORIAL DE CÁLCULO'!C190</f>
        <v>ED-50548</v>
      </c>
      <c r="E158" s="196" t="str">
        <f>'MEMORIAL DE CÁLCULO'!D190</f>
        <v>PISO CIMENTADO COM ARGAMASSA, TRAÇO 1:3 (CIMENTO E AREIA), ESP. 30MM, ACABAMENTO DESEMPENADO E FELTRADO, MODULAÇÃO DE 100X100CM, INCLUSIVE JUNTA PLÁSTICA</v>
      </c>
      <c r="F158" s="197">
        <f>'MEMORIAL DE CÁLCULO'!G190</f>
        <v>16.8</v>
      </c>
      <c r="G158" s="197" t="str">
        <f>'MEMORIAL DE CÁLCULO'!H190</f>
        <v>m²</v>
      </c>
      <c r="H158" s="209">
        <v>44.29</v>
      </c>
      <c r="I158" s="197">
        <f t="shared" si="16"/>
        <v>55.99</v>
      </c>
      <c r="J158" s="198">
        <f>ROUND(I158*F158,2)</f>
        <v>940.63</v>
      </c>
    </row>
    <row r="159" spans="2:10" ht="18.75" customHeight="1" thickBot="1">
      <c r="B159" s="199" t="s">
        <v>328</v>
      </c>
      <c r="C159" s="379" t="s">
        <v>96</v>
      </c>
      <c r="D159" s="380"/>
      <c r="E159" s="380"/>
      <c r="F159" s="380"/>
      <c r="G159" s="380"/>
      <c r="H159" s="208"/>
      <c r="I159" s="205"/>
      <c r="J159" s="200">
        <f>SUM(J160:J160)</f>
        <v>1497.13</v>
      </c>
    </row>
    <row r="160" spans="2:10" s="9" customFormat="1" ht="13.5" thickBot="1">
      <c r="B160" s="194" t="str">
        <f>'MEMORIAL DE CÁLCULO'!A193</f>
        <v>5.4.1</v>
      </c>
      <c r="C160" s="195" t="str">
        <f>'MEMORIAL DE CÁLCULO'!B193</f>
        <v>SETOP</v>
      </c>
      <c r="D160" s="195" t="str">
        <f>'MEMORIAL DE CÁLCULO'!C193</f>
        <v>ED-50498</v>
      </c>
      <c r="E160" s="196" t="str">
        <f>'MEMORIAL DE CÁLCULO'!D193</f>
        <v>PINTURA LÁTEX (PVA) EM PAREDE, DUAS (2) DEMÃOS, EXCLUSIVE SELADOR ACRÍLICO E MASSA ACRÍLICA/CORRIDA (PVA)</v>
      </c>
      <c r="F160" s="197">
        <f>'MEMORIAL DE CÁLCULO'!G193</f>
        <v>118.35</v>
      </c>
      <c r="G160" s="197" t="str">
        <f>'MEMORIAL DE CÁLCULO'!H193</f>
        <v>m²</v>
      </c>
      <c r="H160" s="209">
        <v>10.01</v>
      </c>
      <c r="I160" s="197">
        <f t="shared" si="16"/>
        <v>12.65</v>
      </c>
      <c r="J160" s="198">
        <f>ROUND(I160*F160,2)</f>
        <v>1497.13</v>
      </c>
    </row>
    <row r="161" spans="2:10" ht="18.75" customHeight="1" thickBot="1">
      <c r="B161" s="199" t="s">
        <v>329</v>
      </c>
      <c r="C161" s="379" t="s">
        <v>212</v>
      </c>
      <c r="D161" s="380"/>
      <c r="E161" s="380"/>
      <c r="F161" s="380"/>
      <c r="G161" s="380"/>
      <c r="H161" s="208"/>
      <c r="I161" s="205"/>
      <c r="J161" s="200">
        <f>SUM(J162:J169)</f>
        <v>3971.36</v>
      </c>
    </row>
    <row r="162" spans="2:10" s="9" customFormat="1" ht="22.5">
      <c r="B162" s="194" t="str">
        <f>'MEMORIAL DE CÁLCULO'!A196</f>
        <v>5.5.1</v>
      </c>
      <c r="C162" s="195" t="str">
        <f>'MEMORIAL DE CÁLCULO'!B196</f>
        <v>SINAPI</v>
      </c>
      <c r="D162" s="195">
        <f>'MEMORIAL DE CÁLCULO'!C196</f>
        <v>91927</v>
      </c>
      <c r="E162" s="196" t="str">
        <f>'MEMORIAL DE CÁLCULO'!D196</f>
        <v>CABO DE COBRE FLEXÍVEL ISOLADO, 2,5 MM², ANTI-CHAMA 0,6/1,0 KV, PARA CIRCUITOS TERMINAIS - FORNECIMENTO E INSTALAÇÃO. AF_12/2015</v>
      </c>
      <c r="F162" s="197">
        <f>'MEMORIAL DE CÁLCULO'!G196</f>
        <v>120</v>
      </c>
      <c r="G162" s="197" t="str">
        <f>'MEMORIAL DE CÁLCULO'!H196</f>
        <v>m</v>
      </c>
      <c r="H162" s="209">
        <v>4.78</v>
      </c>
      <c r="I162" s="197">
        <f aca="true" t="shared" si="17" ref="I162:I169">ROUND(H162*I$7,2)+H162</f>
        <v>6.04</v>
      </c>
      <c r="J162" s="198">
        <f>ROUND(I162*F162,2)</f>
        <v>724.8</v>
      </c>
    </row>
    <row r="163" spans="2:10" s="9" customFormat="1" ht="12.75">
      <c r="B163" s="194" t="str">
        <f>'MEMORIAL DE CÁLCULO'!A197</f>
        <v>5.5.2</v>
      </c>
      <c r="C163" s="195" t="str">
        <f>'MEMORIAL DE CÁLCULO'!B197</f>
        <v>SINAPI</v>
      </c>
      <c r="D163" s="195">
        <f>'MEMORIAL DE CÁLCULO'!C197</f>
        <v>91928</v>
      </c>
      <c r="E163" s="196" t="str">
        <f>'MEMORIAL DE CÁLCULO'!D197</f>
        <v>CABO DE COBRE FLEXÍVEL ISOLADO, 4 MM², ANTI-CHAMA 450/750 V, PARA CIRCUITOS TERMINAIS - FORNECIMENTO E INSTALAÇÃO. AF_12/2015</v>
      </c>
      <c r="F163" s="197">
        <f>'MEMORIAL DE CÁLCULO'!G197</f>
        <v>100</v>
      </c>
      <c r="G163" s="197" t="str">
        <f>'MEMORIAL DE CÁLCULO'!H197</f>
        <v>m</v>
      </c>
      <c r="H163" s="209">
        <v>5.9</v>
      </c>
      <c r="I163" s="197">
        <f t="shared" si="17"/>
        <v>7.46</v>
      </c>
      <c r="J163" s="198">
        <f aca="true" t="shared" si="18" ref="J163:J169">ROUND(I163*F163,2)</f>
        <v>746</v>
      </c>
    </row>
    <row r="164" spans="2:10" s="9" customFormat="1" ht="12.75">
      <c r="B164" s="194" t="str">
        <f>'MEMORIAL DE CÁLCULO'!A198</f>
        <v>5.5.3</v>
      </c>
      <c r="C164" s="195" t="str">
        <f>'MEMORIAL DE CÁLCULO'!B198</f>
        <v>SINAPI</v>
      </c>
      <c r="D164" s="195">
        <f>'MEMORIAL DE CÁLCULO'!C198</f>
        <v>92868</v>
      </c>
      <c r="E164" s="196" t="str">
        <f>'MEMORIAL DE CÁLCULO'!D198</f>
        <v>CAIXA RETANGULAR 4" X 2" MÉDIA (1,30 M DO PISO), METÁLICA, INSTALADA EM PAREDE - FORNECIMENTO E INSTALAÇÃO. AF_12/2015</v>
      </c>
      <c r="F164" s="197">
        <f>'MEMORIAL DE CÁLCULO'!G198</f>
        <v>6</v>
      </c>
      <c r="G164" s="197" t="str">
        <f>'MEMORIAL DE CÁLCULO'!H198</f>
        <v>und</v>
      </c>
      <c r="H164" s="209">
        <v>11.55</v>
      </c>
      <c r="I164" s="197">
        <f t="shared" si="17"/>
        <v>14.6</v>
      </c>
      <c r="J164" s="198">
        <f t="shared" si="18"/>
        <v>87.6</v>
      </c>
    </row>
    <row r="165" spans="2:10" s="9" customFormat="1" ht="12.75">
      <c r="B165" s="194" t="str">
        <f>'MEMORIAL DE CÁLCULO'!A199</f>
        <v>5.5.4</v>
      </c>
      <c r="C165" s="195" t="str">
        <f>'MEMORIAL DE CÁLCULO'!B199</f>
        <v>SINAPI</v>
      </c>
      <c r="D165" s="195">
        <f>'MEMORIAL DE CÁLCULO'!C199</f>
        <v>91997</v>
      </c>
      <c r="E165" s="196" t="str">
        <f>'MEMORIAL DE CÁLCULO'!D199</f>
        <v>TOMADA MÉDIA DE EMBUTIR (1 MÓDULO), 2P+T 20 A, INCLUINDO SUPORTE E PLACA - FORNECIMENTO E INSTALAÇÃO. AF_12/2015</v>
      </c>
      <c r="F165" s="197">
        <f>'MEMORIAL DE CÁLCULO'!G199</f>
        <v>9</v>
      </c>
      <c r="G165" s="197" t="str">
        <f>'MEMORIAL DE CÁLCULO'!H199</f>
        <v>und</v>
      </c>
      <c r="H165" s="209">
        <v>27.67</v>
      </c>
      <c r="I165" s="197">
        <f t="shared" si="17"/>
        <v>34.98</v>
      </c>
      <c r="J165" s="198">
        <f t="shared" si="18"/>
        <v>314.82</v>
      </c>
    </row>
    <row r="166" spans="2:10" s="9" customFormat="1" ht="22.5">
      <c r="B166" s="194" t="str">
        <f>'MEMORIAL DE CÁLCULO'!A200</f>
        <v>5.5.5</v>
      </c>
      <c r="C166" s="195" t="str">
        <f>'MEMORIAL DE CÁLCULO'!B200</f>
        <v>SINAPI</v>
      </c>
      <c r="D166" s="195">
        <f>'MEMORIAL DE CÁLCULO'!C200</f>
        <v>92023</v>
      </c>
      <c r="E166" s="196" t="str">
        <f>'MEMORIAL DE CÁLCULO'!D200</f>
        <v>INTERRUPTOR SIMPLES (1 MÓDULO) COM 1 TOMADA DE EMBUTIR 2P+T 10 A, INCLUINDO SUPORTE E PLACA - FORNECIMENTO E INSTALAÇÃO. AF_12/2015</v>
      </c>
      <c r="F166" s="197">
        <f>'MEMORIAL DE CÁLCULO'!G200</f>
        <v>2</v>
      </c>
      <c r="G166" s="197" t="str">
        <f>'MEMORIAL DE CÁLCULO'!H200</f>
        <v>und</v>
      </c>
      <c r="H166" s="209">
        <v>38.18</v>
      </c>
      <c r="I166" s="197">
        <f t="shared" si="17"/>
        <v>48.26</v>
      </c>
      <c r="J166" s="198">
        <f t="shared" si="18"/>
        <v>96.52</v>
      </c>
    </row>
    <row r="167" spans="2:10" s="9" customFormat="1" ht="12.75">
      <c r="B167" s="194" t="str">
        <f>'MEMORIAL DE CÁLCULO'!A201</f>
        <v>5.5.6</v>
      </c>
      <c r="C167" s="195" t="str">
        <f>'MEMORIAL DE CÁLCULO'!B201</f>
        <v>SETOP</v>
      </c>
      <c r="D167" s="195" t="str">
        <f>'MEMORIAL DE CÁLCULO'!C201</f>
        <v>ED-49317</v>
      </c>
      <c r="E167" s="196" t="str">
        <f>'MEMORIAL DE CÁLCULO'!D201</f>
        <v>ELETRODUTO DE AÇO GALVANIZADO LEVE, INCLUSIVE CONEXÕES, SUPORTES E FIXAÇÃO DN 20 (3/4")</v>
      </c>
      <c r="F167" s="197">
        <f>'MEMORIAL DE CÁLCULO'!G201</f>
        <v>30</v>
      </c>
      <c r="G167" s="197" t="str">
        <f>'MEMORIAL DE CÁLCULO'!H201</f>
        <v>m</v>
      </c>
      <c r="H167" s="209">
        <v>17.65</v>
      </c>
      <c r="I167" s="197">
        <f t="shared" si="17"/>
        <v>22.31</v>
      </c>
      <c r="J167" s="198">
        <f t="shared" si="18"/>
        <v>669.3</v>
      </c>
    </row>
    <row r="168" spans="2:10" s="9" customFormat="1" ht="22.5">
      <c r="B168" s="194" t="str">
        <f>'MEMORIAL DE CÁLCULO'!A202</f>
        <v>5.5.7</v>
      </c>
      <c r="C168" s="195" t="str">
        <f>'MEMORIAL DE CÁLCULO'!B202</f>
        <v>SINAPI</v>
      </c>
      <c r="D168" s="195">
        <f>'MEMORIAL DE CÁLCULO'!C202</f>
        <v>97584</v>
      </c>
      <c r="E168" s="196" t="str">
        <f>'MEMORIAL DE CÁLCULO'!D202</f>
        <v>LUMINÁRIA TIPO CALHA, DE SOBREPOR, COM 1 LÂMPADA TUBULAR FLUORESCENTE DE 36 W, COM REATOR DE PARTIDA RÁPIDA - FORNECIMENTO E INSTALAÇÃO. AF_02/2020</v>
      </c>
      <c r="F168" s="197">
        <f>'MEMORIAL DE CÁLCULO'!G202</f>
        <v>3</v>
      </c>
      <c r="G168" s="197" t="str">
        <f>'MEMORIAL DE CÁLCULO'!H202</f>
        <v>und</v>
      </c>
      <c r="H168" s="209">
        <v>140.03</v>
      </c>
      <c r="I168" s="197">
        <f t="shared" si="17"/>
        <v>177.01</v>
      </c>
      <c r="J168" s="198">
        <f t="shared" si="18"/>
        <v>531.03</v>
      </c>
    </row>
    <row r="169" spans="2:10" s="9" customFormat="1" ht="23.25" thickBot="1">
      <c r="B169" s="194" t="str">
        <f>'MEMORIAL DE CÁLCULO'!A203</f>
        <v>5.5.8</v>
      </c>
      <c r="C169" s="195" t="str">
        <f>'MEMORIAL DE CÁLCULO'!B203</f>
        <v>SINAPI</v>
      </c>
      <c r="D169" s="195">
        <f>'MEMORIAL DE CÁLCULO'!C203</f>
        <v>101878</v>
      </c>
      <c r="E169" s="196" t="str">
        <f>'MEMORIAL DE CÁLCULO'!D203</f>
        <v>QUADRO DE DISTRIBUIÇÃO DE ENERGIA EM CHAPA DE AÇO GALVANIZADO, DE SOBREPOR, COM BARRAMENTO TRIFÁSICO, PARA 18 DISJUNTORES DIN 100A - FORNECIMENTO E INSTALAÇÃO. AF_10/2020</v>
      </c>
      <c r="F169" s="197">
        <f>'MEMORIAL DE CÁLCULO'!G203</f>
        <v>1</v>
      </c>
      <c r="G169" s="197" t="str">
        <f>'MEMORIAL DE CÁLCULO'!H203</f>
        <v>und</v>
      </c>
      <c r="H169" s="209">
        <v>633.88</v>
      </c>
      <c r="I169" s="197">
        <f t="shared" si="17"/>
        <v>801.29</v>
      </c>
      <c r="J169" s="198">
        <f t="shared" si="18"/>
        <v>801.29</v>
      </c>
    </row>
    <row r="170" spans="2:10" ht="18.75" customHeight="1" thickBot="1">
      <c r="B170" s="199" t="s">
        <v>333</v>
      </c>
      <c r="C170" s="379" t="s">
        <v>213</v>
      </c>
      <c r="D170" s="380"/>
      <c r="E170" s="380"/>
      <c r="F170" s="380"/>
      <c r="G170" s="380"/>
      <c r="H170" s="208"/>
      <c r="I170" s="205"/>
      <c r="J170" s="200">
        <f>SUM(J171:J179)</f>
        <v>1734.53</v>
      </c>
    </row>
    <row r="171" spans="2:10" s="9" customFormat="1" ht="22.5">
      <c r="B171" s="194" t="str">
        <f>'MEMORIAL DE CÁLCULO'!A206</f>
        <v>5.6.1</v>
      </c>
      <c r="C171" s="195" t="str">
        <f>'MEMORIAL DE CÁLCULO'!B206</f>
        <v>SINAPI</v>
      </c>
      <c r="D171" s="195">
        <v>89353</v>
      </c>
      <c r="E171" s="196" t="str">
        <f>'MEMORIAL DE CÁLCULO'!D206</f>
        <v>KIT DE REGISTRO DE GAVETA BRUTO DE LATÃO ¾", INCLUSIVE CONEXÕES, ROSCÁVEL, INSTALADO EM RAMAL DE ÁGUA FRIA - FORNECIMENTO E INSTALAÇÃO. AF_12/2014</v>
      </c>
      <c r="F171" s="197">
        <f>'MEMORIAL DE CÁLCULO'!G206</f>
        <v>1</v>
      </c>
      <c r="G171" s="197" t="str">
        <f>'MEMORIAL DE CÁLCULO'!H206</f>
        <v>und</v>
      </c>
      <c r="H171" s="209">
        <v>54.92</v>
      </c>
      <c r="I171" s="197">
        <f t="shared" si="16"/>
        <v>69.42</v>
      </c>
      <c r="J171" s="198">
        <f>ROUND(I171*F171,2)</f>
        <v>69.42</v>
      </c>
    </row>
    <row r="172" spans="2:10" s="9" customFormat="1" ht="12.75">
      <c r="B172" s="194" t="str">
        <f>'MEMORIAL DE CÁLCULO'!A207</f>
        <v>5.6.2</v>
      </c>
      <c r="C172" s="195" t="str">
        <f>'MEMORIAL DE CÁLCULO'!B207</f>
        <v>SINAPI</v>
      </c>
      <c r="D172" s="195">
        <f>'MEMORIAL DE CÁLCULO'!C207</f>
        <v>86884</v>
      </c>
      <c r="E172" s="196" t="str">
        <f>'MEMORIAL DE CÁLCULO'!D207</f>
        <v>ENGATE FLEXÍVEL EM PLÁSTICO BRANCO, 1/2 X 30CM - FORNECIMENTO E INSTALAÇÃO. AF_01/2020</v>
      </c>
      <c r="F172" s="197">
        <f>'MEMORIAL DE CÁLCULO'!G207</f>
        <v>1</v>
      </c>
      <c r="G172" s="197" t="str">
        <f>'MEMORIAL DE CÁLCULO'!H207</f>
        <v>und</v>
      </c>
      <c r="H172" s="209">
        <v>7.82</v>
      </c>
      <c r="I172" s="197">
        <f t="shared" si="16"/>
        <v>9.89</v>
      </c>
      <c r="J172" s="198">
        <f>ROUND(I172*F172,2)</f>
        <v>9.89</v>
      </c>
    </row>
    <row r="173" spans="2:10" s="9" customFormat="1" ht="12.75">
      <c r="B173" s="194" t="str">
        <f>'MEMORIAL DE CÁLCULO'!A208</f>
        <v>5.6.3</v>
      </c>
      <c r="C173" s="195" t="str">
        <f>'MEMORIAL DE CÁLCULO'!B208</f>
        <v>SINAPI</v>
      </c>
      <c r="D173" s="195">
        <f>'MEMORIAL DE CÁLCULO'!C208</f>
        <v>86886</v>
      </c>
      <c r="E173" s="196" t="str">
        <f>'MEMORIAL DE CÁLCULO'!D208</f>
        <v>ENGATE FLEXÍVEL EM INOX, 1/2 X 30CM - FORNECIMENTO E INSTALAÇÃO. AF_01/2020</v>
      </c>
      <c r="F173" s="197">
        <f>'MEMORIAL DE CÁLCULO'!G208</f>
        <v>1</v>
      </c>
      <c r="G173" s="197" t="str">
        <f>'MEMORIAL DE CÁLCULO'!H208</f>
        <v>und</v>
      </c>
      <c r="H173" s="209">
        <v>45.13</v>
      </c>
      <c r="I173" s="197">
        <f t="shared" si="16"/>
        <v>57.05</v>
      </c>
      <c r="J173" s="198">
        <f>ROUND(I173*F173,2)</f>
        <v>57.05</v>
      </c>
    </row>
    <row r="174" spans="2:10" s="9" customFormat="1" ht="22.5">
      <c r="B174" s="194" t="str">
        <f>'MEMORIAL DE CÁLCULO'!A209</f>
        <v>5.6.4</v>
      </c>
      <c r="C174" s="195" t="str">
        <f>'MEMORIAL DE CÁLCULO'!B209</f>
        <v>SINAPI</v>
      </c>
      <c r="D174" s="195">
        <f>'MEMORIAL DE CÁLCULO'!C209</f>
        <v>89366</v>
      </c>
      <c r="E174" s="196" t="str">
        <f>'MEMORIAL DE CÁLCULO'!D209</f>
        <v>JOELHO 90 GRAUS COM BUCHA DE LATÃO, PVC, SOLDÁVEL, DN 25MM, X 3/4 INSTALADO EM RAMAL OU SUB-RAMAL DE ÁGUA - FORNECIMENTO E INSTALAÇÃO. AF_12/2014</v>
      </c>
      <c r="F174" s="197">
        <f>'MEMORIAL DE CÁLCULO'!G209</f>
        <v>1</v>
      </c>
      <c r="G174" s="197" t="str">
        <f>'MEMORIAL DE CÁLCULO'!H209</f>
        <v>und</v>
      </c>
      <c r="H174" s="209">
        <v>16.01</v>
      </c>
      <c r="I174" s="197">
        <f t="shared" si="16"/>
        <v>20.24</v>
      </c>
      <c r="J174" s="198">
        <f aca="true" t="shared" si="19" ref="J174:J179">ROUND(I174*F174,2)</f>
        <v>20.24</v>
      </c>
    </row>
    <row r="175" spans="2:10" s="9" customFormat="1" ht="22.5">
      <c r="B175" s="194" t="str">
        <f>'MEMORIAL DE CÁLCULO'!A210</f>
        <v>5.6.5</v>
      </c>
      <c r="C175" s="195" t="str">
        <f>'MEMORIAL DE CÁLCULO'!B210</f>
        <v>SINAPI</v>
      </c>
      <c r="D175" s="195">
        <f>'MEMORIAL DE CÁLCULO'!C210</f>
        <v>89383</v>
      </c>
      <c r="E175" s="196" t="str">
        <f>'MEMORIAL DE CÁLCULO'!D210</f>
        <v>ADAPTADOR CURTO COM BOLSA E ROSCA PARA REGISTRO, PVC, SOLDÁVEL, DN 25M M X 3/4, INSTALADO EM RAMAL OU SUB-RAMAL DE ÁGUA - FORNECIMENTO E INSTALAÇÃO. AF_12/2014</v>
      </c>
      <c r="F175" s="197">
        <f>'MEMORIAL DE CÁLCULO'!G210</f>
        <v>2</v>
      </c>
      <c r="G175" s="197" t="str">
        <f>'MEMORIAL DE CÁLCULO'!H210</f>
        <v>und</v>
      </c>
      <c r="H175" s="209">
        <v>5.72</v>
      </c>
      <c r="I175" s="197">
        <f t="shared" si="16"/>
        <v>7.23</v>
      </c>
      <c r="J175" s="198">
        <f t="shared" si="19"/>
        <v>14.46</v>
      </c>
    </row>
    <row r="176" spans="2:10" s="9" customFormat="1" ht="12" customHeight="1">
      <c r="B176" s="194" t="str">
        <f>'MEMORIAL DE CÁLCULO'!A211</f>
        <v>5.6.6</v>
      </c>
      <c r="C176" s="195" t="str">
        <f>'MEMORIAL DE CÁLCULO'!B211</f>
        <v>SINAPI</v>
      </c>
      <c r="D176" s="195">
        <f>'MEMORIAL DE CÁLCULO'!C211</f>
        <v>89362</v>
      </c>
      <c r="E176" s="196" t="str">
        <f>'MEMORIAL DE CÁLCULO'!D211</f>
        <v>JOELHO 90 GRAUS, PVC, SOLDÁVEL, DN 25MM, INSTALADO EM RAMAL OU SUB-RAMAL DE ÁGUA - FORNECIMENTO E INSTALAÇÃO. AF_12/2014</v>
      </c>
      <c r="F176" s="197">
        <f>'MEMORIAL DE CÁLCULO'!G211</f>
        <v>1</v>
      </c>
      <c r="G176" s="197" t="str">
        <f>'MEMORIAL DE CÁLCULO'!H211</f>
        <v>und</v>
      </c>
      <c r="H176" s="209">
        <v>7.29</v>
      </c>
      <c r="I176" s="197">
        <f t="shared" si="16"/>
        <v>9.22</v>
      </c>
      <c r="J176" s="198">
        <f t="shared" si="19"/>
        <v>9.22</v>
      </c>
    </row>
    <row r="177" spans="2:10" s="9" customFormat="1" ht="12" customHeight="1">
      <c r="B177" s="194" t="str">
        <f>'MEMORIAL DE CÁLCULO'!A212</f>
        <v>5.6.7</v>
      </c>
      <c r="C177" s="195" t="str">
        <f>'MEMORIAL DE CÁLCULO'!B212</f>
        <v>SINAPI</v>
      </c>
      <c r="D177" s="195">
        <f>'MEMORIAL DE CÁLCULO'!C212</f>
        <v>89401</v>
      </c>
      <c r="E177" s="196" t="str">
        <f>'MEMORIAL DE CÁLCULO'!D212</f>
        <v>TUBO, PVC, SOLDÁVEL, DN 20MM, INSTALADO EM RAMAL DE DISTRIBUIÇÃO DE ÁGUA - FORNECIMENTO E INSTALAÇÃO. AF_12/2014</v>
      </c>
      <c r="F177" s="197">
        <f>'MEMORIAL DE CÁLCULO'!G212</f>
        <v>80</v>
      </c>
      <c r="G177" s="197" t="str">
        <f>'MEMORIAL DE CÁLCULO'!H212</f>
        <v>m</v>
      </c>
      <c r="H177" s="209">
        <v>7.59</v>
      </c>
      <c r="I177" s="197">
        <f t="shared" si="16"/>
        <v>9.59</v>
      </c>
      <c r="J177" s="198">
        <f t="shared" si="19"/>
        <v>767.2</v>
      </c>
    </row>
    <row r="178" spans="2:10" s="9" customFormat="1" ht="12" customHeight="1">
      <c r="B178" s="194" t="str">
        <f>'MEMORIAL DE CÁLCULO'!A213</f>
        <v>5.6.8</v>
      </c>
      <c r="C178" s="195" t="str">
        <f>'MEMORIAL DE CÁLCULO'!B213</f>
        <v>SINAPI</v>
      </c>
      <c r="D178" s="195">
        <f>'MEMORIAL DE CÁLCULO'!C213</f>
        <v>89402</v>
      </c>
      <c r="E178" s="196" t="str">
        <f>'MEMORIAL DE CÁLCULO'!D213</f>
        <v>TUBO, PVC, SOLDÁVEL, DN 25MM, INSTALADO EM RAMAL DE DISTRIBUIÇÃO DE ÁGUA - FORNECIMENTO E INSTALAÇÃO. AF_12/2014</v>
      </c>
      <c r="F178" s="197">
        <f>'MEMORIAL DE CÁLCULO'!G213</f>
        <v>3.3</v>
      </c>
      <c r="G178" s="197" t="str">
        <f>'MEMORIAL DE CÁLCULO'!H213</f>
        <v>m</v>
      </c>
      <c r="H178" s="209">
        <v>9.34</v>
      </c>
      <c r="I178" s="197">
        <f t="shared" si="16"/>
        <v>11.81</v>
      </c>
      <c r="J178" s="198">
        <f t="shared" si="19"/>
        <v>38.97</v>
      </c>
    </row>
    <row r="179" spans="2:10" s="9" customFormat="1" ht="12" customHeight="1" thickBot="1">
      <c r="B179" s="194" t="str">
        <f>'MEMORIAL DE CÁLCULO'!A214</f>
        <v>5.6.9</v>
      </c>
      <c r="C179" s="195" t="str">
        <f>'MEMORIAL DE CÁLCULO'!B214</f>
        <v>SINAPI</v>
      </c>
      <c r="D179" s="195">
        <v>102622</v>
      </c>
      <c r="E179" s="196" t="s">
        <v>461</v>
      </c>
      <c r="F179" s="197">
        <f>'MEMORIAL DE CÁLCULO'!G214</f>
        <v>1</v>
      </c>
      <c r="G179" s="197" t="str">
        <f>'MEMORIAL DE CÁLCULO'!H214</f>
        <v>und</v>
      </c>
      <c r="H179" s="209">
        <v>591.79</v>
      </c>
      <c r="I179" s="197">
        <f t="shared" si="16"/>
        <v>748.08</v>
      </c>
      <c r="J179" s="198">
        <f t="shared" si="19"/>
        <v>748.08</v>
      </c>
    </row>
    <row r="180" spans="2:10" ht="18.75" customHeight="1" thickBot="1">
      <c r="B180" s="199" t="s">
        <v>337</v>
      </c>
      <c r="C180" s="379" t="s">
        <v>214</v>
      </c>
      <c r="D180" s="380"/>
      <c r="E180" s="380"/>
      <c r="F180" s="380"/>
      <c r="G180" s="380"/>
      <c r="H180" s="208"/>
      <c r="I180" s="205"/>
      <c r="J180" s="200">
        <f>SUM(J181:J194)</f>
        <v>985.58</v>
      </c>
    </row>
    <row r="181" spans="2:10" s="9" customFormat="1" ht="22.5">
      <c r="B181" s="194" t="str">
        <f>'MEMORIAL DE CÁLCULO'!A217</f>
        <v>5.7.1</v>
      </c>
      <c r="C181" s="195" t="str">
        <f>'MEMORIAL DE CÁLCULO'!B217</f>
        <v>SETOP</v>
      </c>
      <c r="D181" s="195" t="str">
        <f>'MEMORIAL DE CÁLCULO'!C217</f>
        <v>ED-49169</v>
      </c>
      <c r="E181" s="196" t="str">
        <f>'MEMORIAL DE CÁLCULO'!D217</f>
        <v>CAIXA DE PASSAGEM EM ALVENARIA E TAMPA DE CONCRETO, FUNDO DE BRITA, TIPO 1, 40 X 40 X 60 CM, INCLUSIVE ESCAVAÇÃO, REATERRO E BOTA-FORA</v>
      </c>
      <c r="F181" s="197">
        <f>'MEMORIAL DE CÁLCULO'!G217</f>
        <v>1</v>
      </c>
      <c r="G181" s="197" t="str">
        <f>'MEMORIAL DE CÁLCULO'!H217</f>
        <v>und</v>
      </c>
      <c r="H181" s="209">
        <v>207.7</v>
      </c>
      <c r="I181" s="197">
        <f t="shared" si="16"/>
        <v>262.55</v>
      </c>
      <c r="J181" s="198">
        <f aca="true" t="shared" si="20" ref="J181:J187">ROUND(I181*F181,2)</f>
        <v>262.55</v>
      </c>
    </row>
    <row r="182" spans="2:10" s="9" customFormat="1" ht="12.75">
      <c r="B182" s="194" t="str">
        <f>'MEMORIAL DE CÁLCULO'!A218</f>
        <v>5.7.2</v>
      </c>
      <c r="C182" s="195" t="str">
        <f>'MEMORIAL DE CÁLCULO'!B218</f>
        <v>SINAPI-I</v>
      </c>
      <c r="D182" s="195">
        <f>'MEMORIAL DE CÁLCULO'!C218</f>
        <v>5103</v>
      </c>
      <c r="E182" s="196" t="str">
        <f>'MEMORIAL DE CÁLCULO'!D218</f>
        <v>CAIXA SIFONADA PVC, 100 X 100 X 50 MM, COM GRELHA REDONDA BRANCA </v>
      </c>
      <c r="F182" s="197">
        <f>'MEMORIAL DE CÁLCULO'!G218</f>
        <v>1</v>
      </c>
      <c r="G182" s="197" t="str">
        <f>'MEMORIAL DE CÁLCULO'!H218</f>
        <v>und</v>
      </c>
      <c r="H182" s="209">
        <v>24.05</v>
      </c>
      <c r="I182" s="197">
        <f t="shared" si="16"/>
        <v>30.4</v>
      </c>
      <c r="J182" s="198">
        <f t="shared" si="20"/>
        <v>30.4</v>
      </c>
    </row>
    <row r="183" spans="2:10" s="9" customFormat="1" ht="22.5">
      <c r="B183" s="194" t="str">
        <f>'MEMORIAL DE CÁLCULO'!A219</f>
        <v>5.7.3</v>
      </c>
      <c r="C183" s="195" t="str">
        <f>'MEMORIAL DE CÁLCULO'!B219</f>
        <v>SINAPI</v>
      </c>
      <c r="D183" s="195">
        <f>'MEMORIAL DE CÁLCULO'!C219</f>
        <v>86883</v>
      </c>
      <c r="E183" s="196" t="str">
        <f>'MEMORIAL DE CÁLCULO'!D219</f>
        <v>SIFÃO DO TIPO FLEXÍVEL EM PVC 1 X 1.1/2 - FORNECIMENTO E INSTALAÇÃO. UN C 10,44
AF_01/2020</v>
      </c>
      <c r="F183" s="197">
        <f>'MEMORIAL DE CÁLCULO'!G219</f>
        <v>1</v>
      </c>
      <c r="G183" s="197" t="str">
        <f>'MEMORIAL DE CÁLCULO'!H219</f>
        <v>und</v>
      </c>
      <c r="H183" s="209">
        <v>11.02</v>
      </c>
      <c r="I183" s="197">
        <f t="shared" si="16"/>
        <v>13.93</v>
      </c>
      <c r="J183" s="198">
        <f t="shared" si="20"/>
        <v>13.93</v>
      </c>
    </row>
    <row r="184" spans="2:10" s="9" customFormat="1" ht="12.75">
      <c r="B184" s="194" t="str">
        <f>'MEMORIAL DE CÁLCULO'!A220</f>
        <v>5.7.4</v>
      </c>
      <c r="C184" s="195" t="str">
        <f>'MEMORIAL DE CÁLCULO'!B220</f>
        <v>SINAPI-I</v>
      </c>
      <c r="D184" s="195">
        <f>'MEMORIAL DE CÁLCULO'!C220</f>
        <v>38643</v>
      </c>
      <c r="E184" s="196" t="str">
        <f>'MEMORIAL DE CÁLCULO'!D220</f>
        <v>VALVULA EM METAL CROMADO PARA LAVATORIO, 1 " SEM LADRAO </v>
      </c>
      <c r="F184" s="197">
        <f>'MEMORIAL DE CÁLCULO'!G220</f>
        <v>1</v>
      </c>
      <c r="G184" s="197" t="str">
        <f>'MEMORIAL DE CÁLCULO'!H220</f>
        <v>und</v>
      </c>
      <c r="H184" s="209">
        <v>45</v>
      </c>
      <c r="I184" s="197">
        <f t="shared" si="16"/>
        <v>56.88</v>
      </c>
      <c r="J184" s="198">
        <f t="shared" si="20"/>
        <v>56.88</v>
      </c>
    </row>
    <row r="185" spans="2:10" s="9" customFormat="1" ht="22.5">
      <c r="B185" s="194" t="str">
        <f>'MEMORIAL DE CÁLCULO'!A221</f>
        <v>5.7.5</v>
      </c>
      <c r="C185" s="195" t="str">
        <f>'MEMORIAL DE CÁLCULO'!B221</f>
        <v>SINAPI</v>
      </c>
      <c r="D185" s="195">
        <f>'MEMORIAL DE CÁLCULO'!C221</f>
        <v>89728</v>
      </c>
      <c r="E185" s="196" t="str">
        <f>'MEMORIAL DE CÁLCULO'!D221</f>
        <v>CURVA CURTA 90 GRAUS, PVC, SERIE NORMAL, ESGOTO PREDIAL, DN 40 MM, JUNTA SOLDÁVEL, FORNECIDO E INSTALADO EM RAMAL DE DESCARGA OU RAMAL DE ESGOTO SANITÁRIO. AF_12/2014</v>
      </c>
      <c r="F185" s="197">
        <f>'MEMORIAL DE CÁLCULO'!G221</f>
        <v>1</v>
      </c>
      <c r="G185" s="197" t="str">
        <f>'MEMORIAL DE CÁLCULO'!H221</f>
        <v>und</v>
      </c>
      <c r="H185" s="209">
        <v>10.44</v>
      </c>
      <c r="I185" s="197">
        <f t="shared" si="16"/>
        <v>13.2</v>
      </c>
      <c r="J185" s="198">
        <f t="shared" si="20"/>
        <v>13.2</v>
      </c>
    </row>
    <row r="186" spans="2:10" s="9" customFormat="1" ht="22.5">
      <c r="B186" s="194" t="str">
        <f>'MEMORIAL DE CÁLCULO'!A222</f>
        <v>5.7.6</v>
      </c>
      <c r="C186" s="195" t="str">
        <f>'MEMORIAL DE CÁLCULO'!B222</f>
        <v>SINAPI</v>
      </c>
      <c r="D186" s="195">
        <f>'MEMORIAL DE CÁLCULO'!C222</f>
        <v>89724</v>
      </c>
      <c r="E186" s="196" t="str">
        <f>'MEMORIAL DE CÁLCULO'!D222</f>
        <v>JOELHO 90 GRAUS, PVC, SERIE NORMAL, ESGOTO PREDIAL, DN 40 MM, JUNTA SOLDÁVEL, FORNECIDO E INSTALADO EM RAMAL DE DESCARGA OU RAMAL DE ESGOTO SANITÁRIO. AF_12/2014</v>
      </c>
      <c r="F186" s="197">
        <f>'MEMORIAL DE CÁLCULO'!G222</f>
        <v>1</v>
      </c>
      <c r="G186" s="197" t="str">
        <f>'MEMORIAL DE CÁLCULO'!H222</f>
        <v>und</v>
      </c>
      <c r="H186" s="209">
        <v>9.63</v>
      </c>
      <c r="I186" s="197">
        <f t="shared" si="16"/>
        <v>12.17</v>
      </c>
      <c r="J186" s="198">
        <f t="shared" si="20"/>
        <v>12.17</v>
      </c>
    </row>
    <row r="187" spans="2:10" s="9" customFormat="1" ht="33.75">
      <c r="B187" s="194" t="str">
        <f>'MEMORIAL DE CÁLCULO'!A223</f>
        <v>5.7.7</v>
      </c>
      <c r="C187" s="195" t="str">
        <f>'MEMORIAL DE CÁLCULO'!B223</f>
        <v>SINAPI</v>
      </c>
      <c r="D187" s="195">
        <f>'MEMORIAL DE CÁLCULO'!C223</f>
        <v>89731</v>
      </c>
      <c r="E187" s="196" t="str">
        <f>'MEMORIAL DE CÁLCULO'!D223</f>
        <v>JOELHO 90 GRAUS, PVC, SERIE NORMAL, ESGOTO PREDIAL, DN 50 MM, JUNTA ELÁSTICA, FORNECIDO E INSTALADO EM RAMAL DE DESCARGA OU RAMAL DE ESGOTO
SANITÁRIO. AF_12/2014</v>
      </c>
      <c r="F187" s="197">
        <f>'MEMORIAL DE CÁLCULO'!G223</f>
        <v>3</v>
      </c>
      <c r="G187" s="197" t="str">
        <f>'MEMORIAL DE CÁLCULO'!H223</f>
        <v>und</v>
      </c>
      <c r="H187" s="209">
        <v>9.76</v>
      </c>
      <c r="I187" s="197">
        <f t="shared" si="16"/>
        <v>12.34</v>
      </c>
      <c r="J187" s="198">
        <f t="shared" si="20"/>
        <v>37.02</v>
      </c>
    </row>
    <row r="188" spans="2:10" s="9" customFormat="1" ht="22.5">
      <c r="B188" s="194" t="str">
        <f>'MEMORIAL DE CÁLCULO'!A224</f>
        <v>5.7.8</v>
      </c>
      <c r="C188" s="195" t="str">
        <f>'MEMORIAL DE CÁLCULO'!B224</f>
        <v>SINAPI</v>
      </c>
      <c r="D188" s="195">
        <f>'MEMORIAL DE CÁLCULO'!C224</f>
        <v>89744</v>
      </c>
      <c r="E188" s="196" t="str">
        <f>'MEMORIAL DE CÁLCULO'!D224</f>
        <v>JOELHO 90 GRAUS, PVC, SERIE NORMAL, ESGOTO PREDIAL, DN 100 MM, JUNTA ELÁSTICA, FORNECIDO E INSTALADO EM RAMAL DE DESCARGA OU RAMAL DE ESGOTO SANITÁRIO. AF_12/2014</v>
      </c>
      <c r="F188" s="197">
        <f>'MEMORIAL DE CÁLCULO'!G224</f>
        <v>1</v>
      </c>
      <c r="G188" s="197" t="str">
        <f>'MEMORIAL DE CÁLCULO'!H224</f>
        <v>und</v>
      </c>
      <c r="H188" s="209">
        <v>23.05</v>
      </c>
      <c r="I188" s="197">
        <f t="shared" si="16"/>
        <v>29.14</v>
      </c>
      <c r="J188" s="198">
        <f aca="true" t="shared" si="21" ref="J188:J194">ROUND(I188*F188,2)</f>
        <v>29.14</v>
      </c>
    </row>
    <row r="189" spans="2:10" s="9" customFormat="1" ht="22.5">
      <c r="B189" s="194" t="str">
        <f>'MEMORIAL DE CÁLCULO'!A225</f>
        <v>5.7.9</v>
      </c>
      <c r="C189" s="195" t="str">
        <f>'MEMORIAL DE CÁLCULO'!B225</f>
        <v>SINAPI</v>
      </c>
      <c r="D189" s="195">
        <f>'MEMORIAL DE CÁLCULO'!C225</f>
        <v>89797</v>
      </c>
      <c r="E189" s="196" t="str">
        <f>'MEMORIAL DE CÁLCULO'!D225</f>
        <v>JUNÇÃO SIMPLES, PVC, SERIE NORMAL, ESGOTO PREDIAL, DN 100 X 100 MM, JUNTA ELÁSTICA, FORNECIDO E INSTALADO EM RAMAL DE DESCARGA OU RAMAL DE ESGOTO SANITÁRIO. AF_12/2014</v>
      </c>
      <c r="F189" s="197">
        <f>'MEMORIAL DE CÁLCULO'!G225</f>
        <v>1</v>
      </c>
      <c r="G189" s="197" t="str">
        <f>'MEMORIAL DE CÁLCULO'!H225</f>
        <v>und</v>
      </c>
      <c r="H189" s="209">
        <v>46.34</v>
      </c>
      <c r="I189" s="197">
        <f t="shared" si="16"/>
        <v>58.58</v>
      </c>
      <c r="J189" s="198">
        <f t="shared" si="21"/>
        <v>58.58</v>
      </c>
    </row>
    <row r="190" spans="2:10" s="9" customFormat="1" ht="22.5">
      <c r="B190" s="194" t="str">
        <f>'MEMORIAL DE CÁLCULO'!A226</f>
        <v>5.7.10</v>
      </c>
      <c r="C190" s="195" t="str">
        <f>'MEMORIAL DE CÁLCULO'!B226</f>
        <v>SINAPI</v>
      </c>
      <c r="D190" s="195">
        <f>'MEMORIAL DE CÁLCULO'!C226</f>
        <v>89714</v>
      </c>
      <c r="E190" s="196" t="str">
        <f>'MEMORIAL DE CÁLCULO'!D226</f>
        <v>TUBO PVC, SERIE NORMAL, ESGOTO PREDIAL, DN 100 MM, FORNECIDO E INSTALADO EM RAMAL DE DESCARGA OU RAMAL DE ESGOTO SANITÁRIO. AF_12/2014</v>
      </c>
      <c r="F190" s="197">
        <f>'MEMORIAL DE CÁLCULO'!G226</f>
        <v>5</v>
      </c>
      <c r="G190" s="197" t="str">
        <f>'MEMORIAL DE CÁLCULO'!H226</f>
        <v>m</v>
      </c>
      <c r="H190" s="209">
        <v>51.62</v>
      </c>
      <c r="I190" s="197">
        <f t="shared" si="16"/>
        <v>65.25</v>
      </c>
      <c r="J190" s="198">
        <f t="shared" si="21"/>
        <v>326.25</v>
      </c>
    </row>
    <row r="191" spans="2:10" s="9" customFormat="1" ht="22.5">
      <c r="B191" s="194" t="str">
        <f>'MEMORIAL DE CÁLCULO'!A227</f>
        <v>5.7.11</v>
      </c>
      <c r="C191" s="195" t="str">
        <f>'MEMORIAL DE CÁLCULO'!B227</f>
        <v>SINAPI</v>
      </c>
      <c r="D191" s="195">
        <f>'MEMORIAL DE CÁLCULO'!C227</f>
        <v>89798</v>
      </c>
      <c r="E191" s="196" t="str">
        <f>'MEMORIAL DE CÁLCULO'!D227</f>
        <v>TUBO PVC, SERIE NORMAL, ESGOTO PREDIAL, DN 50 MM, FORNECIDO E INSTALADO EM PRUMADA DE ESGOTO SANITÁRIO OU VENTILAÇÃO. AF_12/2014</v>
      </c>
      <c r="F191" s="197">
        <f>'MEMORIAL DE CÁLCULO'!G227</f>
        <v>5</v>
      </c>
      <c r="G191" s="197" t="str">
        <f>'MEMORIAL DE CÁLCULO'!H227</f>
        <v>m</v>
      </c>
      <c r="H191" s="209">
        <v>13.99</v>
      </c>
      <c r="I191" s="197">
        <f t="shared" si="16"/>
        <v>17.68</v>
      </c>
      <c r="J191" s="198">
        <f t="shared" si="21"/>
        <v>88.4</v>
      </c>
    </row>
    <row r="192" spans="2:10" s="9" customFormat="1" ht="22.5">
      <c r="B192" s="194" t="str">
        <f>'MEMORIAL DE CÁLCULO'!A228</f>
        <v>5.7.12</v>
      </c>
      <c r="C192" s="195" t="str">
        <f>'MEMORIAL DE CÁLCULO'!B228</f>
        <v>SINAPI</v>
      </c>
      <c r="D192" s="195">
        <f>'MEMORIAL DE CÁLCULO'!C228</f>
        <v>89711</v>
      </c>
      <c r="E192" s="196" t="str">
        <f>'MEMORIAL DE CÁLCULO'!D228</f>
        <v>TUBO PVC, SERIE NORMAL, ESGOTO PREDIAL, DN 40 MM, FORNECIDO E INSTALADO EM RAMAL DE DESCARGA OU RAMAL DE ESGOTO SANITÁRIO. AF_12/2014</v>
      </c>
      <c r="F192" s="197">
        <f>'MEMORIAL DE CÁLCULO'!G228</f>
        <v>1</v>
      </c>
      <c r="G192" s="197" t="str">
        <f>'MEMORIAL DE CÁLCULO'!H228</f>
        <v>m</v>
      </c>
      <c r="H192" s="209">
        <v>17.69</v>
      </c>
      <c r="I192" s="197">
        <f t="shared" si="16"/>
        <v>22.36</v>
      </c>
      <c r="J192" s="198">
        <f t="shared" si="21"/>
        <v>22.36</v>
      </c>
    </row>
    <row r="193" spans="2:10" s="9" customFormat="1" ht="22.5">
      <c r="B193" s="194" t="str">
        <f>'MEMORIAL DE CÁLCULO'!A229</f>
        <v>5.7.13</v>
      </c>
      <c r="C193" s="195" t="str">
        <f>'MEMORIAL DE CÁLCULO'!B229</f>
        <v>SINAPI</v>
      </c>
      <c r="D193" s="195">
        <f>'MEMORIAL DE CÁLCULO'!C229</f>
        <v>89784</v>
      </c>
      <c r="E193" s="196" t="str">
        <f>'MEMORIAL DE CÁLCULO'!D229</f>
        <v>TE, PVC, SERIE NORMAL, ESGOTO PREDIAL, DN 50 X 50 MM, JUNTA ELÁSTICA, FORNECIDO E INSTALADO EM RAMAL DE DESCARGA OU RAMAL DE ESGOTO SANITÁRIO. AF_12/2014</v>
      </c>
      <c r="F193" s="197">
        <f>'MEMORIAL DE CÁLCULO'!G229</f>
        <v>1</v>
      </c>
      <c r="G193" s="197" t="str">
        <f>'MEMORIAL DE CÁLCULO'!H229</f>
        <v>und</v>
      </c>
      <c r="H193" s="209">
        <v>18.92</v>
      </c>
      <c r="I193" s="197">
        <f t="shared" si="16"/>
        <v>23.92</v>
      </c>
      <c r="J193" s="198">
        <f t="shared" si="21"/>
        <v>23.92</v>
      </c>
    </row>
    <row r="194" spans="2:10" s="9" customFormat="1" ht="13.5" thickBot="1">
      <c r="B194" s="194" t="str">
        <f>'MEMORIAL DE CÁLCULO'!A230</f>
        <v>5.7.14</v>
      </c>
      <c r="C194" s="195" t="str">
        <f>'MEMORIAL DE CÁLCULO'!B230</f>
        <v>SINAPI-I</v>
      </c>
      <c r="D194" s="195">
        <f>'MEMORIAL DE CÁLCULO'!C230</f>
        <v>39319</v>
      </c>
      <c r="E194" s="196" t="str">
        <f>'MEMORIAL DE CÁLCULO'!D230</f>
        <v>TERMINAL DE VENTILACAO, 50 MM, SERIE NORMAL, ESGOTO PREDIAL</v>
      </c>
      <c r="F194" s="197">
        <f>'MEMORIAL DE CÁLCULO'!G230</f>
        <v>1</v>
      </c>
      <c r="G194" s="197" t="str">
        <f>'MEMORIAL DE CÁLCULO'!H230</f>
        <v>und</v>
      </c>
      <c r="H194" s="209">
        <v>8.53</v>
      </c>
      <c r="I194" s="197">
        <f t="shared" si="16"/>
        <v>10.78</v>
      </c>
      <c r="J194" s="198">
        <f t="shared" si="21"/>
        <v>10.78</v>
      </c>
    </row>
    <row r="195" spans="2:10" ht="18.75" customHeight="1" thickBot="1">
      <c r="B195" s="199" t="s">
        <v>343</v>
      </c>
      <c r="C195" s="379" t="s">
        <v>211</v>
      </c>
      <c r="D195" s="380"/>
      <c r="E195" s="380"/>
      <c r="F195" s="380"/>
      <c r="G195" s="380"/>
      <c r="H195" s="208"/>
      <c r="I195" s="205"/>
      <c r="J195" s="200">
        <f>SUM(J196:J199)</f>
        <v>4011.01</v>
      </c>
    </row>
    <row r="196" spans="2:10" s="9" customFormat="1" ht="12.75">
      <c r="B196" s="194" t="str">
        <f>'MEMORIAL DE CÁLCULO'!A233</f>
        <v>5.8.1</v>
      </c>
      <c r="C196" s="195" t="str">
        <f>'MEMORIAL DE CÁLCULO'!B233</f>
        <v>SETOP</v>
      </c>
      <c r="D196" s="195" t="str">
        <f>'MEMORIAL DE CÁLCULO'!C233</f>
        <v>ED-50797</v>
      </c>
      <c r="E196" s="196" t="str">
        <f>'MEMORIAL DE CÁLCULO'!D233</f>
        <v>JANELA DE FERRO E METALON COM CHAPA E GRADE - PADRÃO SEDS</v>
      </c>
      <c r="F196" s="197">
        <f>'MEMORIAL DE CÁLCULO'!G233</f>
        <v>2.4</v>
      </c>
      <c r="G196" s="197" t="str">
        <f>'MEMORIAL DE CÁLCULO'!H233</f>
        <v>m²</v>
      </c>
      <c r="H196" s="209">
        <v>553.08</v>
      </c>
      <c r="I196" s="197">
        <f t="shared" si="16"/>
        <v>699.15</v>
      </c>
      <c r="J196" s="198">
        <f>ROUND(I196*F196,2)</f>
        <v>1677.96</v>
      </c>
    </row>
    <row r="197" spans="2:10" s="9" customFormat="1" ht="12.75">
      <c r="B197" s="194" t="str">
        <f>'MEMORIAL DE CÁLCULO'!A234</f>
        <v>5.8.2</v>
      </c>
      <c r="C197" s="195" t="str">
        <f>'MEMORIAL DE CÁLCULO'!B234</f>
        <v>SETOP</v>
      </c>
      <c r="D197" s="195" t="str">
        <f>'MEMORIAL DE CÁLCULO'!C234</f>
        <v>ED-50810</v>
      </c>
      <c r="E197" s="196" t="str">
        <f>'MEMORIAL DE CÁLCULO'!D234</f>
        <v>JANELA TIPO VENEZIANA EM CHAPA 14 - PADRÃO SEDS</v>
      </c>
      <c r="F197" s="197">
        <f>'MEMORIAL DE CÁLCULO'!G234</f>
        <v>0.18</v>
      </c>
      <c r="G197" s="197" t="str">
        <f>'MEMORIAL DE CÁLCULO'!H234</f>
        <v>m²</v>
      </c>
      <c r="H197" s="209">
        <v>494.65</v>
      </c>
      <c r="I197" s="197">
        <f>ROUND(H197*I$7,2)+H197</f>
        <v>625.29</v>
      </c>
      <c r="J197" s="198">
        <f>ROUND(I197*F197,2)</f>
        <v>112.55</v>
      </c>
    </row>
    <row r="198" spans="2:10" s="9" customFormat="1" ht="12.75">
      <c r="B198" s="194" t="str">
        <f>'MEMORIAL DE CÁLCULO'!A235</f>
        <v>5.8.3</v>
      </c>
      <c r="C198" s="195" t="str">
        <f>'MEMORIAL DE CÁLCULO'!B235</f>
        <v>SINAPI</v>
      </c>
      <c r="D198" s="195">
        <f>'MEMORIAL DE CÁLCULO'!C235</f>
        <v>100701</v>
      </c>
      <c r="E198" s="196" t="str">
        <f>'MEMORIAL DE CÁLCULO'!D235</f>
        <v>PORTA DE FERRO, DE ABRIR, TIPO GRADE COM CHAPA, COM GUARNIÇÕES. AF_12/2019</v>
      </c>
      <c r="F198" s="197">
        <f>'MEMORIAL DE CÁLCULO'!G235</f>
        <v>1.68</v>
      </c>
      <c r="G198" s="197" t="str">
        <f>'MEMORIAL DE CÁLCULO'!H235</f>
        <v>m²</v>
      </c>
      <c r="H198" s="209">
        <v>576.35</v>
      </c>
      <c r="I198" s="197">
        <f>ROUND(H198*I$7,2)+H198</f>
        <v>728.56</v>
      </c>
      <c r="J198" s="198">
        <f>ROUND(I198*F198,2)</f>
        <v>1223.98</v>
      </c>
    </row>
    <row r="199" spans="2:10" s="9" customFormat="1" ht="23.25" thickBot="1">
      <c r="B199" s="194" t="str">
        <f>'MEMORIAL DE CÁLCULO'!A236</f>
        <v>5.8.4</v>
      </c>
      <c r="C199" s="195" t="str">
        <f>'MEMORIAL DE CÁLCULO'!B236</f>
        <v>SINAPI</v>
      </c>
      <c r="D199" s="195">
        <f>'MEMORIAL DE CÁLCULO'!C236</f>
        <v>100684</v>
      </c>
      <c r="E199" s="196" t="str">
        <f>'MEMORIAL DE CÁLCULO'!D236</f>
        <v> KIT DE PORTA DE MADEIRA PARA VERNIZ, SEMI-OCA (LEVE OU MÉDIA), PADRÃO POPULAR, 80X210CM, ESPESSURA DE 3,5CM, ITENS INCLUSOS: DOBRADIÇAS, MONTAGEM E INSTALAÇÃO DE BATENTE, FECHADURA COM EXECUÇÃO DO FURO - FORNECIMENTO E INSTALAÇÃO. AF_12/2019</v>
      </c>
      <c r="F199" s="197">
        <f>'MEMORIAL DE CÁLCULO'!G236</f>
        <v>1</v>
      </c>
      <c r="G199" s="197" t="str">
        <f>'MEMORIAL DE CÁLCULO'!H236</f>
        <v>und</v>
      </c>
      <c r="H199" s="209">
        <v>788.32</v>
      </c>
      <c r="I199" s="197">
        <f>ROUND(H199*I$7,2)+H199</f>
        <v>996.52</v>
      </c>
      <c r="J199" s="198">
        <f>ROUND(I199*F199,2)</f>
        <v>996.52</v>
      </c>
    </row>
    <row r="200" spans="2:10" ht="18.75" customHeight="1" thickBot="1">
      <c r="B200" s="199" t="s">
        <v>346</v>
      </c>
      <c r="C200" s="379" t="s">
        <v>199</v>
      </c>
      <c r="D200" s="380"/>
      <c r="E200" s="380"/>
      <c r="F200" s="380"/>
      <c r="G200" s="380"/>
      <c r="H200" s="208"/>
      <c r="I200" s="205"/>
      <c r="J200" s="200">
        <f>SUM(J201:J203)</f>
        <v>773.95</v>
      </c>
    </row>
    <row r="201" spans="2:10" s="9" customFormat="1" ht="12.75">
      <c r="B201" s="194" t="str">
        <f>'MEMORIAL DE CÁLCULO'!A239</f>
        <v>5.9.1</v>
      </c>
      <c r="C201" s="195" t="str">
        <f>'MEMORIAL DE CÁLCULO'!B239</f>
        <v>SINAPI</v>
      </c>
      <c r="D201" s="203" t="str">
        <f>'MEMORIAL DE CÁLCULO'!C239</f>
        <v>86888 </v>
      </c>
      <c r="E201" s="196" t="str">
        <f>'MEMORIAL DE CÁLCULO'!D239</f>
        <v>VASO SANITÁRIO SIFONADO COM CAIXA ACOPLADA LOUÇA BRANCA - FORNECIMENTO E INSTALAÇÃO. AF_01/2020</v>
      </c>
      <c r="F201" s="197">
        <f>'MEMORIAL DE CÁLCULO'!G239</f>
        <v>1</v>
      </c>
      <c r="G201" s="197" t="str">
        <f>'MEMORIAL DE CÁLCULO'!H239</f>
        <v>und</v>
      </c>
      <c r="H201" s="209">
        <v>419.48</v>
      </c>
      <c r="I201" s="197">
        <f>ROUND(H201*I$7,2)+H201</f>
        <v>530.26</v>
      </c>
      <c r="J201" s="198">
        <f>ROUND(I201*F201,2)</f>
        <v>530.26</v>
      </c>
    </row>
    <row r="202" spans="2:10" s="9" customFormat="1" ht="12.75">
      <c r="B202" s="194" t="str">
        <f>'MEMORIAL DE CÁLCULO'!A240</f>
        <v>5.9.2</v>
      </c>
      <c r="C202" s="195" t="str">
        <f>'MEMORIAL DE CÁLCULO'!B240</f>
        <v>SINAPI</v>
      </c>
      <c r="D202" s="203" t="str">
        <f>'MEMORIAL DE CÁLCULO'!C240</f>
        <v>86904 </v>
      </c>
      <c r="E202" s="196" t="str">
        <f>'MEMORIAL DE CÁLCULO'!D240</f>
        <v>LAVATÓRIO LOUÇA BRANCA SUSPENSO, 29,5 X 39CM OU EQUIVALENTE, PADRÃO POPULAR - FORNECIMENTO E INSTALAÇÃO. AF_01/2020</v>
      </c>
      <c r="F202" s="197">
        <f>'MEMORIAL DE CÁLCULO'!G240</f>
        <v>1</v>
      </c>
      <c r="G202" s="197" t="str">
        <f>'MEMORIAL DE CÁLCULO'!H240</f>
        <v>und</v>
      </c>
      <c r="H202" s="209">
        <v>134.36</v>
      </c>
      <c r="I202" s="197">
        <f>ROUND(H202*I$7,2)+H202</f>
        <v>169.84</v>
      </c>
      <c r="J202" s="198">
        <f>ROUND(I202*F202,2)</f>
        <v>169.84</v>
      </c>
    </row>
    <row r="203" spans="2:10" s="9" customFormat="1" ht="12.75">
      <c r="B203" s="194" t="str">
        <f>'MEMORIAL DE CÁLCULO'!A241</f>
        <v>5.9.3</v>
      </c>
      <c r="C203" s="195" t="str">
        <f>'MEMORIAL DE CÁLCULO'!B241</f>
        <v>SINAPI</v>
      </c>
      <c r="D203" s="203">
        <f>'MEMORIAL DE CÁLCULO'!C241</f>
        <v>86906</v>
      </c>
      <c r="E203" s="196" t="str">
        <f>'MEMORIAL DE CÁLCULO'!D241</f>
        <v>TORNEIRA CROMADA DE MESA, 1/2 OU 3/4, PARA LAVATÓRIO, PADRÃO POPULAR - FORNECIMENTO E INSTALAÇÃO. AF_01/2020</v>
      </c>
      <c r="F203" s="197">
        <f>'MEMORIAL DE CÁLCULO'!G241</f>
        <v>1</v>
      </c>
      <c r="G203" s="197" t="str">
        <f>'MEMORIAL DE CÁLCULO'!H241</f>
        <v>und</v>
      </c>
      <c r="H203" s="209">
        <v>58.42</v>
      </c>
      <c r="I203" s="197">
        <f>ROUND(H203*I$7,2)+H203</f>
        <v>73.85</v>
      </c>
      <c r="J203" s="198">
        <f>ROUND(I203*F203,2)</f>
        <v>73.85</v>
      </c>
    </row>
    <row r="204" spans="2:10" s="9" customFormat="1" ht="13.5" thickBot="1">
      <c r="B204" s="194" t="str">
        <f>'MEMORIAL DE CÁLCULO'!A242</f>
        <v>5.9.4</v>
      </c>
      <c r="C204" s="195" t="str">
        <f>'MEMORIAL DE CÁLCULO'!B242</f>
        <v>SINAPI</v>
      </c>
      <c r="D204" s="203">
        <f>'MEMORIAL DE CÁLCULO'!C242</f>
        <v>95546</v>
      </c>
      <c r="E204" s="196" t="str">
        <f>'MEMORIAL DE CÁLCULO'!D242</f>
        <v>KIT DE ACESSORIOS PARA BANHEIRO EM METAL CROMADO, 5 PECAS, INCLUSO FIXAÇÃO. AF_01/2020</v>
      </c>
      <c r="F204" s="197">
        <f>'MEMORIAL DE CÁLCULO'!G242</f>
        <v>1</v>
      </c>
      <c r="G204" s="197" t="str">
        <f>'MEMORIAL DE CÁLCULO'!H242</f>
        <v>und</v>
      </c>
      <c r="H204" s="209">
        <v>104.79</v>
      </c>
      <c r="I204" s="197">
        <f>ROUND(H204*I$7,2)+H204</f>
        <v>132.47</v>
      </c>
      <c r="J204" s="198">
        <f>ROUND(I204*F204,2)</f>
        <v>132.47</v>
      </c>
    </row>
    <row r="205" spans="2:10" ht="18.75" customHeight="1" thickBot="1">
      <c r="B205" s="114">
        <v>6</v>
      </c>
      <c r="C205" s="361" t="s">
        <v>160</v>
      </c>
      <c r="D205" s="362"/>
      <c r="E205" s="362"/>
      <c r="F205" s="362"/>
      <c r="G205" s="362"/>
      <c r="H205" s="206"/>
      <c r="I205" s="192"/>
      <c r="J205" s="193">
        <f>J206</f>
        <v>111.64</v>
      </c>
    </row>
    <row r="206" spans="2:10" s="9" customFormat="1" ht="13.5" customHeight="1" thickBot="1">
      <c r="B206" s="194" t="str">
        <f>'MEMORIAL DE CÁLCULO'!A246</f>
        <v>6.1.1</v>
      </c>
      <c r="C206" s="195" t="str">
        <f>'MEMORIAL DE CÁLCULO'!B246</f>
        <v>SETOP</v>
      </c>
      <c r="D206" s="195" t="str">
        <f>'MEMORIAL DE CÁLCULO'!C246</f>
        <v>ED-50266</v>
      </c>
      <c r="E206" s="196" t="str">
        <f>'MEMORIAL DE CÁLCULO'!D246</f>
        <v>LIMPEZA FINAL PARA ENTREGA DA OBRA</v>
      </c>
      <c r="F206" s="197">
        <f>'MEMORIAL DE CÁLCULO'!G246</f>
        <v>17.39</v>
      </c>
      <c r="G206" s="197" t="str">
        <f>'MEMORIAL DE CÁLCULO'!H246</f>
        <v>m²</v>
      </c>
      <c r="H206" s="209">
        <v>5.08</v>
      </c>
      <c r="I206" s="197">
        <f>ROUND(H206*I$7,2)+H206</f>
        <v>6.42</v>
      </c>
      <c r="J206" s="198">
        <f>ROUND(I206*F206,2)</f>
        <v>111.64</v>
      </c>
    </row>
    <row r="207" spans="2:16" s="21" customFormat="1" ht="18.75" customHeight="1" thickBot="1">
      <c r="B207" s="394" t="s">
        <v>65</v>
      </c>
      <c r="C207" s="395"/>
      <c r="D207" s="395"/>
      <c r="E207" s="395"/>
      <c r="F207" s="395"/>
      <c r="G207" s="395"/>
      <c r="H207" s="395"/>
      <c r="I207" s="396"/>
      <c r="J207" s="204">
        <f>J10+J13+J42+J65+J147+J205</f>
        <v>362328.9</v>
      </c>
      <c r="L207" s="25"/>
      <c r="M207" s="23"/>
      <c r="N207" s="22"/>
      <c r="O207" s="24"/>
      <c r="P207" s="22"/>
    </row>
  </sheetData>
  <sheetProtection password="CEAA" sheet="1"/>
  <mergeCells count="50">
    <mergeCell ref="B2:J2"/>
    <mergeCell ref="B4:J4"/>
    <mergeCell ref="I6:J6"/>
    <mergeCell ref="I7:J7"/>
    <mergeCell ref="B8:J8"/>
    <mergeCell ref="B207:I207"/>
    <mergeCell ref="C161:G161"/>
    <mergeCell ref="C159:G159"/>
    <mergeCell ref="C156:G156"/>
    <mergeCell ref="C10:G10"/>
    <mergeCell ref="C13:G13"/>
    <mergeCell ref="C42:G42"/>
    <mergeCell ref="C65:G65"/>
    <mergeCell ref="C147:G147"/>
    <mergeCell ref="C205:G205"/>
    <mergeCell ref="C195:G195"/>
    <mergeCell ref="C200:G200"/>
    <mergeCell ref="C180:G180"/>
    <mergeCell ref="C170:G170"/>
    <mergeCell ref="C150:G150"/>
    <mergeCell ref="C148:G148"/>
    <mergeCell ref="C138:G138"/>
    <mergeCell ref="C129:G129"/>
    <mergeCell ref="C127:G127"/>
    <mergeCell ref="C119:G119"/>
    <mergeCell ref="C113:G113"/>
    <mergeCell ref="C111:G111"/>
    <mergeCell ref="C109:G109"/>
    <mergeCell ref="C107:G107"/>
    <mergeCell ref="C102:G102"/>
    <mergeCell ref="C100:G100"/>
    <mergeCell ref="C98:G98"/>
    <mergeCell ref="C96:G96"/>
    <mergeCell ref="C91:G91"/>
    <mergeCell ref="C86:G86"/>
    <mergeCell ref="C81:G81"/>
    <mergeCell ref="C74:G74"/>
    <mergeCell ref="C66:G66"/>
    <mergeCell ref="C63:G63"/>
    <mergeCell ref="C61:G61"/>
    <mergeCell ref="C56:G56"/>
    <mergeCell ref="C51:G51"/>
    <mergeCell ref="C43:G43"/>
    <mergeCell ref="C14:G14"/>
    <mergeCell ref="C39:G39"/>
    <mergeCell ref="C37:G37"/>
    <mergeCell ref="C35:G35"/>
    <mergeCell ref="C33:G33"/>
    <mergeCell ref="C28:G28"/>
    <mergeCell ref="C21:G2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3" r:id="rId2"/>
  <rowBreaks count="6" manualBreakCount="6">
    <brk id="41" min="1" max="9" man="1"/>
    <brk id="76" min="1" max="9" man="1"/>
    <brk id="108" min="1" max="9" man="1"/>
    <brk id="137" min="1" max="9" man="1"/>
    <brk id="163" min="1" max="9" man="1"/>
    <brk id="190" min="1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view="pageBreakPreview" zoomScaleSheetLayoutView="100" zoomScalePageLayoutView="0" workbookViewId="0" topLeftCell="A1">
      <selection activeCell="F10" sqref="F10:F19"/>
    </sheetView>
  </sheetViews>
  <sheetFormatPr defaultColWidth="9.140625" defaultRowHeight="12.75"/>
  <cols>
    <col min="1" max="1" width="3.28125" style="1" customWidth="1"/>
    <col min="2" max="2" width="5.421875" style="1" bestFit="1" customWidth="1"/>
    <col min="3" max="3" width="10.7109375" style="1" bestFit="1" customWidth="1"/>
    <col min="4" max="4" width="55.28125" style="1" customWidth="1"/>
    <col min="5" max="5" width="12.28125" style="1" customWidth="1"/>
    <col min="6" max="6" width="23.140625" style="1" customWidth="1"/>
    <col min="7" max="7" width="20.7109375" style="1" customWidth="1"/>
    <col min="8" max="8" width="18.7109375" style="1" customWidth="1"/>
    <col min="9" max="9" width="5.28125" style="1" customWidth="1"/>
    <col min="10" max="10" width="15.7109375" style="1" customWidth="1"/>
    <col min="11" max="11" width="11.7109375" style="1" bestFit="1" customWidth="1"/>
    <col min="12" max="12" width="8.00390625" style="1" customWidth="1"/>
    <col min="13" max="13" width="11.7109375" style="1" bestFit="1" customWidth="1"/>
    <col min="14" max="14" width="1.7109375" style="1" customWidth="1"/>
    <col min="15" max="15" width="11.7109375" style="1" customWidth="1"/>
    <col min="16" max="16384" width="9.140625" style="1" customWidth="1"/>
  </cols>
  <sheetData>
    <row r="1" spans="2:8" ht="60.75" customHeight="1">
      <c r="B1" s="416"/>
      <c r="C1" s="417"/>
      <c r="D1" s="418"/>
      <c r="E1" s="418"/>
      <c r="F1" s="418"/>
      <c r="G1" s="418"/>
      <c r="H1" s="419"/>
    </row>
    <row r="2" spans="2:8" ht="3.75" customHeight="1" thickBot="1">
      <c r="B2" s="381"/>
      <c r="C2" s="382"/>
      <c r="D2" s="382"/>
      <c r="E2" s="382"/>
      <c r="F2" s="382"/>
      <c r="G2" s="382"/>
      <c r="H2" s="383"/>
    </row>
    <row r="3" spans="2:8" ht="3.75" customHeight="1" thickBot="1">
      <c r="B3" s="174"/>
      <c r="C3" s="175"/>
      <c r="D3" s="175"/>
      <c r="E3" s="175"/>
      <c r="F3" s="175"/>
      <c r="G3" s="175"/>
      <c r="H3" s="210"/>
    </row>
    <row r="4" spans="2:8" ht="19.5" customHeight="1" thickBot="1">
      <c r="B4" s="384" t="s">
        <v>27</v>
      </c>
      <c r="C4" s="385"/>
      <c r="D4" s="385"/>
      <c r="E4" s="385"/>
      <c r="F4" s="385"/>
      <c r="G4" s="385"/>
      <c r="H4" s="386"/>
    </row>
    <row r="5" spans="2:8" ht="3.75" customHeight="1" thickBot="1">
      <c r="B5" s="177"/>
      <c r="C5" s="178"/>
      <c r="D5" s="178"/>
      <c r="E5" s="178"/>
      <c r="F5" s="178"/>
      <c r="G5" s="178"/>
      <c r="H5" s="211"/>
    </row>
    <row r="6" spans="2:8" ht="19.5" customHeight="1">
      <c r="B6" s="180" t="str">
        <f>'MEMORIAL DE CÁLCULO'!A5</f>
        <v>OBRA:  CONSTRUÇÃO DA USINA DE ASFALTO DE JANAÚBA</v>
      </c>
      <c r="C6" s="181"/>
      <c r="D6" s="181"/>
      <c r="E6" s="181"/>
      <c r="F6" s="183" t="s">
        <v>28</v>
      </c>
      <c r="G6" s="387">
        <v>44588</v>
      </c>
      <c r="H6" s="388"/>
    </row>
    <row r="7" spans="2:8" ht="19.5" customHeight="1">
      <c r="B7" s="184" t="str">
        <f>'MEMORIAL DE CÁLCULO'!A6</f>
        <v>LOCAL: AVENIDA DINAMARCA, Nº 30, BAIRRO BOA VISTA, JANAÚBA-MG</v>
      </c>
      <c r="C7" s="185"/>
      <c r="D7" s="185"/>
      <c r="E7" s="185"/>
      <c r="F7" s="185"/>
      <c r="G7" s="185"/>
      <c r="H7" s="212"/>
    </row>
    <row r="8" spans="2:8" ht="3.75" customHeight="1" thickBot="1">
      <c r="B8" s="391"/>
      <c r="C8" s="392"/>
      <c r="D8" s="392"/>
      <c r="E8" s="392"/>
      <c r="F8" s="392"/>
      <c r="G8" s="392"/>
      <c r="H8" s="393"/>
    </row>
    <row r="9" spans="2:8" ht="25.5">
      <c r="B9" s="384" t="s">
        <v>45</v>
      </c>
      <c r="C9" s="385"/>
      <c r="D9" s="414"/>
      <c r="E9" s="213" t="s">
        <v>44</v>
      </c>
      <c r="F9" s="214" t="s">
        <v>46</v>
      </c>
      <c r="G9" s="214" t="s">
        <v>47</v>
      </c>
      <c r="H9" s="215" t="s">
        <v>48</v>
      </c>
    </row>
    <row r="10" spans="2:8" s="9" customFormat="1" ht="12.75">
      <c r="B10" s="415" t="s">
        <v>37</v>
      </c>
      <c r="C10" s="404"/>
      <c r="D10" s="404"/>
      <c r="E10" s="217" t="s">
        <v>29</v>
      </c>
      <c r="F10" s="225">
        <v>0.04</v>
      </c>
      <c r="G10" s="218">
        <v>0.03</v>
      </c>
      <c r="H10" s="219">
        <v>0.055</v>
      </c>
    </row>
    <row r="11" spans="2:8" s="9" customFormat="1" ht="12.75">
      <c r="B11" s="415" t="s">
        <v>38</v>
      </c>
      <c r="C11" s="404"/>
      <c r="D11" s="404"/>
      <c r="E11" s="217" t="s">
        <v>42</v>
      </c>
      <c r="F11" s="225">
        <v>0.008</v>
      </c>
      <c r="G11" s="218">
        <v>0.008</v>
      </c>
      <c r="H11" s="219">
        <v>0.01</v>
      </c>
    </row>
    <row r="12" spans="2:8" s="9" customFormat="1" ht="12.75">
      <c r="B12" s="415" t="s">
        <v>39</v>
      </c>
      <c r="C12" s="404"/>
      <c r="D12" s="404"/>
      <c r="E12" s="217" t="s">
        <v>30</v>
      </c>
      <c r="F12" s="225">
        <v>0.0097</v>
      </c>
      <c r="G12" s="218">
        <v>0.0097</v>
      </c>
      <c r="H12" s="219">
        <v>0.0127</v>
      </c>
    </row>
    <row r="13" spans="2:14" s="9" customFormat="1" ht="22.5" customHeight="1">
      <c r="B13" s="415" t="s">
        <v>40</v>
      </c>
      <c r="C13" s="404"/>
      <c r="D13" s="404"/>
      <c r="E13" s="217" t="s">
        <v>31</v>
      </c>
      <c r="F13" s="225">
        <v>0.0059</v>
      </c>
      <c r="G13" s="218">
        <v>0.0059</v>
      </c>
      <c r="H13" s="219">
        <v>0.0139</v>
      </c>
      <c r="J13" s="10"/>
      <c r="K13" s="10"/>
      <c r="L13" s="10"/>
      <c r="M13" s="10"/>
      <c r="N13" s="10"/>
    </row>
    <row r="14" spans="2:14" s="9" customFormat="1" ht="12.75">
      <c r="B14" s="415" t="s">
        <v>41</v>
      </c>
      <c r="C14" s="404"/>
      <c r="D14" s="404"/>
      <c r="E14" s="217" t="s">
        <v>32</v>
      </c>
      <c r="F14" s="225">
        <v>0.0616</v>
      </c>
      <c r="G14" s="218">
        <v>0.0616</v>
      </c>
      <c r="H14" s="219">
        <v>0.0896</v>
      </c>
      <c r="J14" s="11"/>
      <c r="K14" s="12"/>
      <c r="L14" s="10"/>
      <c r="M14" s="13"/>
      <c r="N14" s="10"/>
    </row>
    <row r="15" spans="1:14" s="9" customFormat="1" ht="12.75">
      <c r="A15" s="400"/>
      <c r="B15" s="415" t="s">
        <v>53</v>
      </c>
      <c r="C15" s="404"/>
      <c r="D15" s="216" t="s">
        <v>33</v>
      </c>
      <c r="E15" s="420" t="s">
        <v>49</v>
      </c>
      <c r="F15" s="225">
        <v>0.0065</v>
      </c>
      <c r="G15" s="404" t="s">
        <v>50</v>
      </c>
      <c r="H15" s="405"/>
      <c r="J15" s="11"/>
      <c r="K15" s="12"/>
      <c r="L15" s="10"/>
      <c r="M15" s="13"/>
      <c r="N15" s="10"/>
    </row>
    <row r="16" spans="1:14" s="9" customFormat="1" ht="12.75">
      <c r="A16" s="401"/>
      <c r="B16" s="415"/>
      <c r="C16" s="404"/>
      <c r="D16" s="216" t="s">
        <v>34</v>
      </c>
      <c r="E16" s="421"/>
      <c r="F16" s="225">
        <v>0.03</v>
      </c>
      <c r="G16" s="404"/>
      <c r="H16" s="405"/>
      <c r="J16" s="11"/>
      <c r="K16" s="12"/>
      <c r="L16" s="10"/>
      <c r="M16" s="13"/>
      <c r="N16" s="10"/>
    </row>
    <row r="17" spans="1:14" s="9" customFormat="1" ht="12.75">
      <c r="A17" s="401"/>
      <c r="B17" s="415"/>
      <c r="C17" s="404"/>
      <c r="D17" s="216" t="s">
        <v>35</v>
      </c>
      <c r="E17" s="421"/>
      <c r="F17" s="225">
        <v>0.025</v>
      </c>
      <c r="G17" s="404"/>
      <c r="H17" s="405"/>
      <c r="J17" s="18"/>
      <c r="K17" s="12"/>
      <c r="L17" s="10"/>
      <c r="M17" s="13"/>
      <c r="N17" s="10"/>
    </row>
    <row r="18" spans="1:14" s="9" customFormat="1" ht="12.75">
      <c r="A18" s="401"/>
      <c r="B18" s="415"/>
      <c r="C18" s="404"/>
      <c r="D18" s="216" t="s">
        <v>36</v>
      </c>
      <c r="E18" s="422"/>
      <c r="F18" s="225">
        <v>0.045</v>
      </c>
      <c r="G18" s="404"/>
      <c r="H18" s="405"/>
      <c r="J18" s="11"/>
      <c r="K18" s="12"/>
      <c r="L18" s="10"/>
      <c r="M18" s="13"/>
      <c r="N18" s="10"/>
    </row>
    <row r="19" spans="2:14" s="9" customFormat="1" ht="22.5" customHeight="1">
      <c r="B19" s="406" t="s">
        <v>51</v>
      </c>
      <c r="C19" s="407"/>
      <c r="D19" s="407"/>
      <c r="E19" s="408"/>
      <c r="F19" s="225">
        <f>ROUND((((1+F10+F11+F12)*(1+F13)*(1+F14)/(1-(F15+F16+F17+F18)))-1),4)</f>
        <v>0.2641</v>
      </c>
      <c r="G19" s="412"/>
      <c r="H19" s="413"/>
      <c r="J19" s="10"/>
      <c r="K19" s="10"/>
      <c r="L19" s="10"/>
      <c r="M19" s="10"/>
      <c r="N19" s="10"/>
    </row>
    <row r="20" spans="2:14" s="9" customFormat="1" ht="22.5" customHeight="1">
      <c r="B20" s="409" t="s">
        <v>52</v>
      </c>
      <c r="C20" s="410"/>
      <c r="D20" s="410"/>
      <c r="E20" s="411"/>
      <c r="F20" s="220">
        <f>SUM(F19)</f>
        <v>0.2641</v>
      </c>
      <c r="G20" s="412"/>
      <c r="H20" s="413"/>
      <c r="J20" s="10"/>
      <c r="K20" s="10"/>
      <c r="L20" s="10"/>
      <c r="M20" s="10"/>
      <c r="N20" s="10"/>
    </row>
    <row r="21" spans="2:8" s="19" customFormat="1" ht="22.5" customHeight="1">
      <c r="B21" s="221" t="s">
        <v>43</v>
      </c>
      <c r="C21" s="222"/>
      <c r="D21" s="222"/>
      <c r="E21" s="222"/>
      <c r="F21" s="222"/>
      <c r="G21" s="222"/>
      <c r="H21" s="223"/>
    </row>
    <row r="22" spans="2:8" s="19" customFormat="1" ht="22.5" customHeight="1">
      <c r="B22" s="224"/>
      <c r="C22" s="222"/>
      <c r="D22" s="222"/>
      <c r="E22" s="222"/>
      <c r="F22" s="402" t="s">
        <v>54</v>
      </c>
      <c r="G22" s="402"/>
      <c r="H22" s="403"/>
    </row>
    <row r="23" spans="2:8" s="19" customFormat="1" ht="22.5" customHeight="1">
      <c r="B23" s="224"/>
      <c r="C23" s="222"/>
      <c r="D23" s="222"/>
      <c r="E23" s="222"/>
      <c r="F23" s="402"/>
      <c r="G23" s="402"/>
      <c r="H23" s="403"/>
    </row>
    <row r="24" spans="2:14" s="2" customFormat="1" ht="18.75" customHeight="1">
      <c r="B24" s="397"/>
      <c r="C24" s="398"/>
      <c r="D24" s="398"/>
      <c r="E24" s="398"/>
      <c r="F24" s="398"/>
      <c r="G24" s="398"/>
      <c r="H24" s="399"/>
      <c r="J24" s="7"/>
      <c r="K24" s="6"/>
      <c r="L24" s="7"/>
      <c r="M24" s="8"/>
      <c r="N24" s="7"/>
    </row>
  </sheetData>
  <sheetProtection password="CEAA" sheet="1"/>
  <mergeCells count="21">
    <mergeCell ref="B1:C1"/>
    <mergeCell ref="D1:H1"/>
    <mergeCell ref="B2:H2"/>
    <mergeCell ref="B4:H4"/>
    <mergeCell ref="G6:H6"/>
    <mergeCell ref="B15:C18"/>
    <mergeCell ref="E15:E18"/>
    <mergeCell ref="B8:H8"/>
    <mergeCell ref="B9:D9"/>
    <mergeCell ref="B10:D10"/>
    <mergeCell ref="B11:D11"/>
    <mergeCell ref="B12:D12"/>
    <mergeCell ref="B13:D13"/>
    <mergeCell ref="B14:D14"/>
    <mergeCell ref="B24:H24"/>
    <mergeCell ref="A15:A18"/>
    <mergeCell ref="F22:H23"/>
    <mergeCell ref="G15:H18"/>
    <mergeCell ref="B19:E19"/>
    <mergeCell ref="B20:E20"/>
    <mergeCell ref="G19:H2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view="pageBreakPreview" zoomScaleNormal="85" zoomScaleSheetLayoutView="100" zoomScalePageLayoutView="0" workbookViewId="0" topLeftCell="A1">
      <selection activeCell="B1" sqref="B1:H19"/>
    </sheetView>
  </sheetViews>
  <sheetFormatPr defaultColWidth="9.140625" defaultRowHeight="12.75"/>
  <cols>
    <col min="1" max="1" width="9.140625" style="4" customWidth="1"/>
    <col min="2" max="2" width="12.140625" style="4" customWidth="1"/>
    <col min="3" max="3" width="96.28125" style="4" customWidth="1"/>
    <col min="4" max="4" width="14.28125" style="5" customWidth="1"/>
    <col min="5" max="5" width="13.28125" style="14" customWidth="1"/>
    <col min="6" max="7" width="12.421875" style="15" bestFit="1" customWidth="1"/>
    <col min="8" max="8" width="11.421875" style="15" customWidth="1"/>
    <col min="9" max="16384" width="9.140625" style="4" customWidth="1"/>
  </cols>
  <sheetData>
    <row r="1" spans="2:8" s="1" customFormat="1" ht="72.75" customHeight="1" thickBot="1">
      <c r="B1" s="429"/>
      <c r="C1" s="430"/>
      <c r="D1" s="430"/>
      <c r="E1" s="430"/>
      <c r="F1" s="430"/>
      <c r="G1" s="430"/>
      <c r="H1" s="431"/>
    </row>
    <row r="2" spans="2:8" ht="18" customHeight="1" thickBot="1">
      <c r="B2" s="438" t="s">
        <v>13</v>
      </c>
      <c r="C2" s="439"/>
      <c r="D2" s="439"/>
      <c r="E2" s="439"/>
      <c r="F2" s="439"/>
      <c r="G2" s="439"/>
      <c r="H2" s="440"/>
    </row>
    <row r="3" spans="2:8" s="1" customFormat="1" ht="19.5" customHeight="1">
      <c r="B3" s="180" t="str">
        <f>'MEMORIAL DE CÁLCULO'!A5</f>
        <v>OBRA:  CONSTRUÇÃO DA USINA DE ASFALTO DE JANAÚBA</v>
      </c>
      <c r="C3" s="226"/>
      <c r="D3" s="226"/>
      <c r="E3" s="432" t="s">
        <v>28</v>
      </c>
      <c r="F3" s="433"/>
      <c r="G3" s="441">
        <v>44588</v>
      </c>
      <c r="H3" s="442"/>
    </row>
    <row r="4" spans="2:8" s="1" customFormat="1" ht="19.5" customHeight="1" thickBot="1">
      <c r="B4" s="227" t="str">
        <f>'MEMORIAL DE CÁLCULO'!A6</f>
        <v>LOCAL: AVENIDA DINAMARCA, Nº 30, BAIRRO BOA VISTA, JANAÚBA-MG</v>
      </c>
      <c r="C4" s="228"/>
      <c r="D4" s="228"/>
      <c r="E4" s="436" t="s">
        <v>66</v>
      </c>
      <c r="F4" s="437"/>
      <c r="G4" s="434">
        <f>'PLANILHA ORÇAMENTÁRIA'!J207</f>
        <v>362328.9</v>
      </c>
      <c r="H4" s="435"/>
    </row>
    <row r="5" spans="2:8" ht="36" customHeight="1">
      <c r="B5" s="229" t="s">
        <v>0</v>
      </c>
      <c r="C5" s="230" t="s">
        <v>14</v>
      </c>
      <c r="D5" s="231" t="s">
        <v>15</v>
      </c>
      <c r="E5" s="232" t="s">
        <v>16</v>
      </c>
      <c r="F5" s="230" t="s">
        <v>63</v>
      </c>
      <c r="G5" s="230" t="s">
        <v>17</v>
      </c>
      <c r="H5" s="233" t="s">
        <v>64</v>
      </c>
    </row>
    <row r="6" spans="2:8" ht="14.25" customHeight="1">
      <c r="B6" s="427">
        <f>'PLANILHA ORÇAMENTÁRIA'!B10</f>
        <v>1</v>
      </c>
      <c r="C6" s="428" t="str">
        <f>'PLANILHA ORÇAMENTÁRIA'!C10</f>
        <v>SERVIÇOS PRELIMINARES</v>
      </c>
      <c r="D6" s="234" t="s">
        <v>18</v>
      </c>
      <c r="E6" s="235">
        <f>E7/E$19</f>
        <v>0.0103</v>
      </c>
      <c r="F6" s="236">
        <v>1</v>
      </c>
      <c r="G6" s="236"/>
      <c r="H6" s="237"/>
    </row>
    <row r="7" spans="2:8" ht="14.25" customHeight="1">
      <c r="B7" s="427"/>
      <c r="C7" s="428"/>
      <c r="D7" s="238" t="s">
        <v>19</v>
      </c>
      <c r="E7" s="239">
        <f>'PLANILHA ORÇAMENTÁRIA'!J10</f>
        <v>3732.83</v>
      </c>
      <c r="F7" s="240">
        <f>F6*$E$7</f>
        <v>3732.83</v>
      </c>
      <c r="G7" s="240"/>
      <c r="H7" s="241"/>
    </row>
    <row r="8" spans="2:8" ht="14.25" customHeight="1">
      <c r="B8" s="443">
        <f>'PLANILHA ORÇAMENTÁRIA'!B13</f>
        <v>2</v>
      </c>
      <c r="C8" s="428" t="str">
        <f>'PLANILHA ORÇAMENTÁRIA'!C13</f>
        <v>MURO DE BLOCO DE CONCRETO</v>
      </c>
      <c r="D8" s="242" t="s">
        <v>18</v>
      </c>
      <c r="E8" s="235">
        <f>E9/E$19</f>
        <v>0.58617</v>
      </c>
      <c r="F8" s="236">
        <v>0.75</v>
      </c>
      <c r="G8" s="236">
        <v>0.25</v>
      </c>
      <c r="H8" s="237"/>
    </row>
    <row r="9" spans="2:8" ht="14.25" customHeight="1">
      <c r="B9" s="443"/>
      <c r="C9" s="428"/>
      <c r="D9" s="238" t="s">
        <v>19</v>
      </c>
      <c r="E9" s="239">
        <f>'PLANILHA ORÇAMENTÁRIA'!J13</f>
        <v>212387.05</v>
      </c>
      <c r="F9" s="243">
        <f>F8*$E$9</f>
        <v>159290.288</v>
      </c>
      <c r="G9" s="243">
        <f>G8*$E$9</f>
        <v>53096.763</v>
      </c>
      <c r="H9" s="241"/>
    </row>
    <row r="10" spans="2:8" ht="14.25" customHeight="1">
      <c r="B10" s="427">
        <f>'PLANILHA ORÇAMENTÁRIA'!B42</f>
        <v>3</v>
      </c>
      <c r="C10" s="428" t="str">
        <f>'PLANILHA ORÇAMENTÁRIA'!C42</f>
        <v>BAIAS</v>
      </c>
      <c r="D10" s="242" t="s">
        <v>18</v>
      </c>
      <c r="E10" s="235">
        <f>E11/E$19</f>
        <v>0.05298</v>
      </c>
      <c r="F10" s="236"/>
      <c r="G10" s="236">
        <v>1</v>
      </c>
      <c r="H10" s="244"/>
    </row>
    <row r="11" spans="2:8" ht="12.75">
      <c r="B11" s="427"/>
      <c r="C11" s="428"/>
      <c r="D11" s="238" t="s">
        <v>19</v>
      </c>
      <c r="E11" s="239">
        <f>'PLANILHA ORÇAMENTÁRIA'!J42</f>
        <v>19197.99</v>
      </c>
      <c r="F11" s="240"/>
      <c r="G11" s="240">
        <f>G10*$E$11</f>
        <v>19197.99</v>
      </c>
      <c r="H11" s="241"/>
    </row>
    <row r="12" spans="2:8" ht="14.25" customHeight="1">
      <c r="B12" s="427">
        <f>'PLANILHA ORÇAMENTÁRIA'!B65</f>
        <v>4</v>
      </c>
      <c r="C12" s="428" t="str">
        <f>'PLANILHA ORÇAMENTÁRIA'!C65</f>
        <v>ESTRUTURA DA USINA</v>
      </c>
      <c r="D12" s="242" t="s">
        <v>18</v>
      </c>
      <c r="E12" s="235">
        <f>E13/E$19</f>
        <v>0.29445</v>
      </c>
      <c r="F12" s="236"/>
      <c r="G12" s="236">
        <v>0.4</v>
      </c>
      <c r="H12" s="237">
        <v>0.6</v>
      </c>
    </row>
    <row r="13" spans="2:8" ht="12.75">
      <c r="B13" s="427"/>
      <c r="C13" s="428"/>
      <c r="D13" s="238" t="s">
        <v>19</v>
      </c>
      <c r="E13" s="239">
        <f>'PLANILHA ORÇAMENTÁRIA'!J65</f>
        <v>106686.2</v>
      </c>
      <c r="F13" s="240"/>
      <c r="G13" s="240">
        <f>G12*$E$13</f>
        <v>42674.48</v>
      </c>
      <c r="H13" s="241">
        <f>H12*$E$13</f>
        <v>64011.72</v>
      </c>
    </row>
    <row r="14" spans="2:8" ht="14.25" customHeight="1">
      <c r="B14" s="427">
        <f>'PLANILHA ORÇAMENTÁRIA'!B147</f>
        <v>5</v>
      </c>
      <c r="C14" s="428" t="str">
        <f>'PLANILHA ORÇAMENTÁRIA'!C147</f>
        <v>ESCRITÓRIO</v>
      </c>
      <c r="D14" s="242" t="s">
        <v>18</v>
      </c>
      <c r="E14" s="235">
        <f>E15/E$19</f>
        <v>0.05579</v>
      </c>
      <c r="F14" s="236"/>
      <c r="G14" s="236"/>
      <c r="H14" s="237">
        <v>1</v>
      </c>
    </row>
    <row r="15" spans="2:8" ht="12.75">
      <c r="B15" s="427"/>
      <c r="C15" s="428"/>
      <c r="D15" s="238" t="s">
        <v>19</v>
      </c>
      <c r="E15" s="239">
        <f>'PLANILHA ORÇAMENTÁRIA'!J147</f>
        <v>20213.19</v>
      </c>
      <c r="F15" s="240"/>
      <c r="G15" s="240"/>
      <c r="H15" s="241">
        <f>H14*$E$15</f>
        <v>20213.19</v>
      </c>
    </row>
    <row r="16" spans="2:8" ht="14.25" customHeight="1">
      <c r="B16" s="427">
        <f>'PLANILHA ORÇAMENTÁRIA'!B205</f>
        <v>6</v>
      </c>
      <c r="C16" s="428" t="str">
        <f>'PLANILHA ORÇAMENTÁRIA'!C205</f>
        <v>SERVIÇOS COMPLEMENTARES</v>
      </c>
      <c r="D16" s="242" t="s">
        <v>18</v>
      </c>
      <c r="E16" s="235">
        <f>E17/E$19</f>
        <v>0.00031</v>
      </c>
      <c r="F16" s="236"/>
      <c r="G16" s="236"/>
      <c r="H16" s="237">
        <v>1</v>
      </c>
    </row>
    <row r="17" spans="2:8" ht="12.75">
      <c r="B17" s="427"/>
      <c r="C17" s="428"/>
      <c r="D17" s="238" t="s">
        <v>19</v>
      </c>
      <c r="E17" s="239">
        <f>'PLANILHA ORÇAMENTÁRIA'!J205</f>
        <v>111.64</v>
      </c>
      <c r="F17" s="240"/>
      <c r="G17" s="240"/>
      <c r="H17" s="241">
        <f>H16*$E$17</f>
        <v>111.64</v>
      </c>
    </row>
    <row r="18" spans="2:8" ht="14.25" customHeight="1">
      <c r="B18" s="423" t="s">
        <v>20</v>
      </c>
      <c r="C18" s="424"/>
      <c r="D18" s="245" t="s">
        <v>18</v>
      </c>
      <c r="E18" s="246">
        <f>E6+E8+E10+E12+E14+E16</f>
        <v>1</v>
      </c>
      <c r="F18" s="246">
        <f>ROUND(F19/$E$19,4)</f>
        <v>0.4499</v>
      </c>
      <c r="G18" s="246">
        <f>ROUND(G19/$E$19,4)</f>
        <v>0.3173</v>
      </c>
      <c r="H18" s="247">
        <f>H19/$E$19</f>
        <v>0.2328</v>
      </c>
    </row>
    <row r="19" spans="2:8" ht="13.5" customHeight="1" thickBot="1">
      <c r="B19" s="425"/>
      <c r="C19" s="426"/>
      <c r="D19" s="248" t="s">
        <v>19</v>
      </c>
      <c r="E19" s="249">
        <f>E7+E9+E11+E13+E15+E17</f>
        <v>362328.9</v>
      </c>
      <c r="F19" s="249">
        <f>F7+F9+F11+F13+F15+F17</f>
        <v>163023.12</v>
      </c>
      <c r="G19" s="249">
        <f>G7+G9+G11+G13+G15+G17</f>
        <v>114969.23</v>
      </c>
      <c r="H19" s="250">
        <f>H7+H9+H11+H13+H15+H17</f>
        <v>84336.55</v>
      </c>
    </row>
    <row r="28" ht="12.75">
      <c r="G28" s="15" t="s">
        <v>492</v>
      </c>
    </row>
  </sheetData>
  <sheetProtection password="CEAA" sheet="1"/>
  <mergeCells count="19">
    <mergeCell ref="B6:B7"/>
    <mergeCell ref="B8:B9"/>
    <mergeCell ref="C8:C9"/>
    <mergeCell ref="B12:B13"/>
    <mergeCell ref="C12:C13"/>
    <mergeCell ref="B16:B17"/>
    <mergeCell ref="C16:C17"/>
    <mergeCell ref="B14:B15"/>
    <mergeCell ref="C14:C15"/>
    <mergeCell ref="B18:C19"/>
    <mergeCell ref="B10:B11"/>
    <mergeCell ref="C10:C11"/>
    <mergeCell ref="B1:H1"/>
    <mergeCell ref="E3:F3"/>
    <mergeCell ref="G4:H4"/>
    <mergeCell ref="E4:F4"/>
    <mergeCell ref="B2:H2"/>
    <mergeCell ref="C6:C7"/>
    <mergeCell ref="G3:H3"/>
  </mergeCells>
  <printOptions horizontalCentered="1"/>
  <pageMargins left="0.5118110236220472" right="0.5118110236220472" top="0.5905511811023622" bottom="0.984251968503937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Carlos Felipe Batista Silva</cp:lastModifiedBy>
  <cp:lastPrinted>2022-02-04T17:11:37Z</cp:lastPrinted>
  <dcterms:created xsi:type="dcterms:W3CDTF">2006-09-22T13:55:22Z</dcterms:created>
  <dcterms:modified xsi:type="dcterms:W3CDTF">2022-02-15T17:56:30Z</dcterms:modified>
  <cp:category/>
  <cp:version/>
  <cp:contentType/>
  <cp:contentStatus/>
</cp:coreProperties>
</file>